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Balance sheet\2016\9. Sept\RMA\"/>
    </mc:Choice>
  </mc:AlternateContent>
  <bookViews>
    <workbookView xWindow="0" yWindow="0" windowWidth="20490" windowHeight="7755" tabRatio="868"/>
  </bookViews>
  <sheets>
    <sheet name="Fin.position-1" sheetId="1" r:id="rId1"/>
    <sheet name="income statement" sheetId="4" r:id="rId2"/>
    <sheet name="equity" sheetId="2" r:id="rId3"/>
    <sheet name="compr.income" sheetId="5" state="hidden" r:id="rId4"/>
    <sheet name="Notes" sheetId="16" state="hidden" r:id="rId5"/>
    <sheet name="NOTES " sheetId="6" state="hidden" r:id="rId6"/>
    <sheet name="BSheet" sheetId="7" state="hidden" r:id="rId7"/>
    <sheet name="P&amp;L" sheetId="8" state="hidden" r:id="rId8"/>
    <sheet name="Schedules" sheetId="9" state="hidden" r:id="rId9"/>
    <sheet name="Notes on Capital" sheetId="15" r:id="rId10"/>
    <sheet name="PP &amp; equip" sheetId="10" r:id="rId11"/>
    <sheet name="Other Notes Final" sheetId="17" r:id="rId12"/>
    <sheet name="Other Notes" sheetId="19" r:id="rId13"/>
    <sheet name="Income Tax as per IT Act" sheetId="20" r:id="rId14"/>
    <sheet name="Segment Reporting" sheetId="14" r:id="rId15"/>
    <sheet name="Deferred tax" sheetId="11" r:id="rId16"/>
    <sheet name="Sheet1" sheetId="21" r:id="rId17"/>
  </sheets>
  <externalReferences>
    <externalReference r:id="rId18"/>
    <externalReference r:id="rId19"/>
    <externalReference r:id="rId20"/>
    <externalReference r:id="rId21"/>
    <externalReference r:id="rId22"/>
  </externalReferences>
  <definedNames>
    <definedName name="OLE_LINK1" localSheetId="12">'Other Notes'!$C$50</definedName>
    <definedName name="_xlnm.Print_Area" localSheetId="6">BSheet!$A$1:$E$61</definedName>
    <definedName name="_xlnm.Print_Area" localSheetId="2">equity!$A$1:$H$39</definedName>
    <definedName name="_xlnm.Print_Area" localSheetId="0">'Fin.position-1'!$A$1:$H$62</definedName>
    <definedName name="_xlnm.Print_Area" localSheetId="1">'income statement'!$A$1:$H$71</definedName>
    <definedName name="_xlnm.Print_Area" localSheetId="9">'Notes on Capital'!$A$1:$E$38</definedName>
    <definedName name="_xlnm.Print_Area" localSheetId="12">'Other Notes'!$A$1:$G$69</definedName>
    <definedName name="_xlnm.Print_Area" localSheetId="11">'Other Notes Final'!$A$1:$D$238</definedName>
    <definedName name="_xlnm.Print_Area" localSheetId="7">'P&amp;L'!$A$1:$F$55</definedName>
    <definedName name="_xlnm.Print_Area" localSheetId="10">'PP &amp; equip'!$A$1:$K$43</definedName>
    <definedName name="_xlnm.Print_Area" localSheetId="8">Schedules!$A$1:$I$195</definedName>
    <definedName name="_xlnm.Print_Area" localSheetId="14">'Segment Reporting'!$A$1:$J$45</definedName>
    <definedName name="Z_72AECFDF_D723_4070_8275_F05FB2F264F1_.wvu.Cols" localSheetId="0" hidden="1">'Fin.position-1'!$D:$F</definedName>
    <definedName name="Z_72AECFDF_D723_4070_8275_F05FB2F264F1_.wvu.Cols" localSheetId="9" hidden="1">'Notes on Capital'!$A:$A</definedName>
    <definedName name="Z_72AECFDF_D723_4070_8275_F05FB2F264F1_.wvu.PrintArea" localSheetId="6" hidden="1">BSheet!$A$1:$E$61</definedName>
    <definedName name="Z_72AECFDF_D723_4070_8275_F05FB2F264F1_.wvu.PrintArea" localSheetId="7" hidden="1">'P&amp;L'!$A$1:$F$55</definedName>
    <definedName name="Z_72AECFDF_D723_4070_8275_F05FB2F264F1_.wvu.PrintArea" localSheetId="8" hidden="1">Schedules!$A$1:$I$195</definedName>
    <definedName name="Z_72AECFDF_D723_4070_8275_F05FB2F264F1_.wvu.Rows" localSheetId="8" hidden="1">Schedules!$53:$54,Schedules!$65:$65,Schedules!$78:$78,Schedules!$107:$107,Schedules!$144:$144,Schedules!$171:$172,Schedules!$174:$174,Schedules!$199:$199,Schedules!$207:$207,Schedules!$212:$212</definedName>
    <definedName name="Z_9A88D99D_9CFD_4D2A_BD86_16F4695A8B22_.wvu.Cols" localSheetId="0" hidden="1">'Fin.position-1'!$D:$F</definedName>
    <definedName name="Z_9A88D99D_9CFD_4D2A_BD86_16F4695A8B22_.wvu.Cols" localSheetId="9" hidden="1">'Notes on Capital'!$A:$A</definedName>
    <definedName name="Z_9A88D99D_9CFD_4D2A_BD86_16F4695A8B22_.wvu.PrintArea" localSheetId="6" hidden="1">BSheet!$A$1:$E$61</definedName>
    <definedName name="Z_9A88D99D_9CFD_4D2A_BD86_16F4695A8B22_.wvu.PrintArea" localSheetId="7" hidden="1">'P&amp;L'!$A$1:$F$55</definedName>
    <definedName name="Z_9A88D99D_9CFD_4D2A_BD86_16F4695A8B22_.wvu.PrintArea" localSheetId="8" hidden="1">Schedules!$A$1:$I$195</definedName>
    <definedName name="Z_9A88D99D_9CFD_4D2A_BD86_16F4695A8B22_.wvu.Rows" localSheetId="8" hidden="1">Schedules!$53:$54,Schedules!$65:$65,Schedules!$78:$78,Schedules!$107:$107,Schedules!$144:$144,Schedules!$171:$172,Schedules!$174:$174,Schedules!$199:$199,Schedules!$207:$207,Schedules!$212:$212</definedName>
  </definedNames>
  <calcPr calcId="152511"/>
  <customWorkbookViews>
    <customWorkbookView name="Ankita Singhania - Personal View" guid="{72AECFDF-D723-4070-8275-F05FB2F264F1}" mergeInterval="0" personalView="1" maximized="1" windowWidth="1596" windowHeight="655" tabRatio="868" activeSheetId="3"/>
    <customWorkbookView name="Rohit Gupta - Personal View" guid="{9A88D99D-9CFD-4D2A-BD86-16F4695A8B22}" mergeInterval="0" personalView="1" maximized="1" windowWidth="1596" windowHeight="675" tabRatio="868" activeSheetId="4"/>
  </customWorkbookViews>
</workbook>
</file>

<file path=xl/calcChain.xml><?xml version="1.0" encoding="utf-8"?>
<calcChain xmlns="http://schemas.openxmlformats.org/spreadsheetml/2006/main">
  <c r="H32" i="4" l="1"/>
  <c r="C207" i="17" l="1"/>
  <c r="I74" i="17" l="1"/>
  <c r="J8" i="17" l="1"/>
  <c r="D138" i="17" l="1"/>
  <c r="C138" i="17"/>
  <c r="G22" i="1" s="1"/>
  <c r="G7" i="19" l="1"/>
  <c r="D216" i="17" l="1"/>
  <c r="D204" i="17"/>
  <c r="D145" i="17"/>
  <c r="E18" i="15"/>
  <c r="I8" i="17" l="1"/>
  <c r="I7" i="17"/>
  <c r="J7" i="17" s="1"/>
  <c r="D34" i="14" l="1"/>
  <c r="E34" i="14"/>
  <c r="C34" i="14"/>
  <c r="F206" i="17" l="1"/>
  <c r="F205" i="17"/>
  <c r="F207" i="17" l="1"/>
  <c r="F41" i="17"/>
  <c r="F43" i="17" s="1"/>
  <c r="E107" i="17" l="1"/>
  <c r="D17" i="11" l="1"/>
  <c r="E148" i="17"/>
  <c r="E144" i="17"/>
  <c r="E119" i="17"/>
  <c r="E116" i="17"/>
  <c r="F116" i="17" s="1"/>
  <c r="E205" i="17"/>
  <c r="E204" i="17"/>
  <c r="F145" i="17"/>
  <c r="K68" i="1"/>
  <c r="F159" i="17"/>
  <c r="E206" i="17" l="1"/>
  <c r="F29" i="17" l="1"/>
  <c r="G18" i="2" l="1"/>
  <c r="F203" i="17"/>
  <c r="L15" i="1" l="1"/>
  <c r="K12" i="1"/>
  <c r="K23" i="1"/>
  <c r="F152" i="17"/>
  <c r="K24" i="1"/>
  <c r="H99" i="17"/>
  <c r="H100" i="17"/>
  <c r="H101" i="17"/>
  <c r="H103" i="17"/>
  <c r="H104" i="17"/>
  <c r="H105" i="17"/>
  <c r="H106" i="17"/>
  <c r="H107" i="17"/>
  <c r="H108" i="17"/>
  <c r="H109" i="17"/>
  <c r="H110" i="17"/>
  <c r="H111" i="17"/>
  <c r="H112" i="17"/>
  <c r="H113" i="17"/>
  <c r="G102" i="17"/>
  <c r="F102" i="17"/>
  <c r="G98" i="17"/>
  <c r="F98" i="17"/>
  <c r="K19" i="1"/>
  <c r="K11" i="1"/>
  <c r="N54" i="1"/>
  <c r="K50" i="1"/>
  <c r="K41" i="1"/>
  <c r="K40" i="1"/>
  <c r="F195" i="17"/>
  <c r="F200" i="17"/>
  <c r="G195" i="17"/>
  <c r="G197" i="17"/>
  <c r="F194" i="17"/>
  <c r="G194" i="17" s="1"/>
  <c r="F193" i="17"/>
  <c r="G193" i="17" s="1"/>
  <c r="K37" i="1"/>
  <c r="L1" i="1"/>
  <c r="L2" i="1"/>
  <c r="L3" i="1"/>
  <c r="L4" i="1"/>
  <c r="L5" i="1"/>
  <c r="L6" i="1"/>
  <c r="L7" i="1"/>
  <c r="L8" i="1"/>
  <c r="L9" i="1"/>
  <c r="L10" i="1"/>
  <c r="L16" i="1"/>
  <c r="L17" i="1"/>
  <c r="L18" i="1"/>
  <c r="L20" i="1"/>
  <c r="L21" i="1"/>
  <c r="L22" i="1"/>
  <c r="L25" i="1"/>
  <c r="L26" i="1"/>
  <c r="L27" i="1"/>
  <c r="L28" i="1"/>
  <c r="L29" i="1"/>
  <c r="L30" i="1"/>
  <c r="L31" i="1"/>
  <c r="L33" i="1"/>
  <c r="L34" i="1"/>
  <c r="L35" i="1"/>
  <c r="L36" i="1"/>
  <c r="L38" i="1"/>
  <c r="L42" i="1"/>
  <c r="L43" i="1"/>
  <c r="L44" i="1"/>
  <c r="L45" i="1"/>
  <c r="L46" i="1"/>
  <c r="L48" i="1"/>
  <c r="L49" i="1"/>
  <c r="L51" i="1"/>
  <c r="L52" i="1"/>
  <c r="L54" i="1"/>
  <c r="K32" i="1"/>
  <c r="K47" i="1"/>
  <c r="K13" i="1" l="1"/>
  <c r="H102" i="17"/>
  <c r="K53" i="1"/>
  <c r="H98" i="17"/>
  <c r="F149" i="17" l="1"/>
  <c r="D18" i="15" l="1"/>
  <c r="C130" i="17" l="1"/>
  <c r="F129" i="17"/>
  <c r="J36" i="14" l="1"/>
  <c r="J34" i="14"/>
  <c r="J33" i="14"/>
  <c r="J19" i="14"/>
  <c r="J18" i="14"/>
  <c r="H16" i="14"/>
  <c r="J16" i="14"/>
  <c r="G15" i="14"/>
  <c r="G16" i="14" s="1"/>
  <c r="G14" i="14"/>
  <c r="I14" i="14"/>
  <c r="I15" i="14" s="1"/>
  <c r="J7" i="14"/>
  <c r="J8" i="14"/>
  <c r="J4" i="14"/>
  <c r="J20" i="14" l="1"/>
  <c r="I16" i="14"/>
  <c r="F28" i="19"/>
  <c r="D229" i="17" l="1"/>
  <c r="D230" i="17" s="1"/>
  <c r="C229" i="17"/>
  <c r="D12" i="4" l="1"/>
  <c r="D14" i="4" s="1"/>
  <c r="E12" i="4"/>
  <c r="E14" i="4" s="1"/>
  <c r="F12" i="4"/>
  <c r="F14" i="4" s="1"/>
  <c r="K13" i="4"/>
  <c r="L13" i="4"/>
  <c r="J15" i="4"/>
  <c r="K15" i="4"/>
  <c r="L15" i="4"/>
  <c r="J16" i="4"/>
  <c r="K16" i="4"/>
  <c r="L16" i="4"/>
  <c r="J17" i="4"/>
  <c r="K17" i="4"/>
  <c r="L17" i="4"/>
  <c r="J21" i="4"/>
  <c r="K21" i="4"/>
  <c r="L21" i="4"/>
  <c r="J23" i="4"/>
  <c r="K23" i="4"/>
  <c r="L23" i="4"/>
  <c r="L25" i="4"/>
  <c r="J26" i="4"/>
  <c r="K26" i="4"/>
  <c r="L26" i="4"/>
  <c r="J30" i="4"/>
  <c r="K30" i="4"/>
  <c r="L30" i="4"/>
  <c r="J34" i="4"/>
  <c r="K34" i="4"/>
  <c r="L34" i="4"/>
  <c r="J35" i="4"/>
  <c r="K35" i="4"/>
  <c r="L35" i="4"/>
  <c r="J36" i="4"/>
  <c r="K36" i="4"/>
  <c r="L36" i="4"/>
  <c r="J37" i="4"/>
  <c r="K37" i="4"/>
  <c r="L37" i="4"/>
  <c r="J38" i="4"/>
  <c r="K38" i="4"/>
  <c r="L38" i="4"/>
  <c r="J40" i="4"/>
  <c r="K40" i="4"/>
  <c r="L40" i="4"/>
  <c r="J41" i="4"/>
  <c r="K41" i="4"/>
  <c r="L41" i="4"/>
  <c r="J42" i="4"/>
  <c r="K42" i="4"/>
  <c r="L42" i="4"/>
  <c r="J44" i="4"/>
  <c r="K44" i="4"/>
  <c r="L44" i="4"/>
  <c r="J46" i="4"/>
  <c r="K46" i="4"/>
  <c r="L46" i="4"/>
  <c r="D217" i="17"/>
  <c r="E48" i="1"/>
  <c r="L32" i="4"/>
  <c r="D207" i="17"/>
  <c r="H41" i="1" s="1"/>
  <c r="G41" i="1"/>
  <c r="D196" i="17"/>
  <c r="H40" i="1" s="1"/>
  <c r="C196" i="17"/>
  <c r="D174" i="17"/>
  <c r="D170" i="17"/>
  <c r="C170" i="17"/>
  <c r="D186" i="17"/>
  <c r="H38" i="1" s="1"/>
  <c r="C186" i="17"/>
  <c r="D163" i="17"/>
  <c r="H32" i="1" s="1"/>
  <c r="C163" i="17"/>
  <c r="G32" i="1" s="1"/>
  <c r="D154" i="17"/>
  <c r="H23" i="1" s="1"/>
  <c r="C154" i="17"/>
  <c r="D130" i="17"/>
  <c r="H19" i="1" s="1"/>
  <c r="G19" i="1"/>
  <c r="J19" i="1" s="1"/>
  <c r="L19" i="1" s="1"/>
  <c r="D118" i="17"/>
  <c r="H12" i="1" s="1"/>
  <c r="C118" i="17"/>
  <c r="D106" i="17"/>
  <c r="H11" i="1" s="1"/>
  <c r="C106" i="17"/>
  <c r="G11" i="1" s="1"/>
  <c r="D75" i="17"/>
  <c r="H27" i="4" s="1"/>
  <c r="C75" i="17"/>
  <c r="D39" i="17"/>
  <c r="H18" i="4" s="1"/>
  <c r="C39" i="17"/>
  <c r="D59" i="17"/>
  <c r="H24" i="4" s="1"/>
  <c r="C59" i="17"/>
  <c r="D51" i="17"/>
  <c r="H20" i="4" s="1"/>
  <c r="C51" i="17"/>
  <c r="G20" i="4" s="1"/>
  <c r="D21" i="17"/>
  <c r="H10" i="4" s="1"/>
  <c r="D29" i="17"/>
  <c r="H12" i="4" s="1"/>
  <c r="C29" i="17"/>
  <c r="G12" i="4" s="1"/>
  <c r="C21" i="17"/>
  <c r="D10" i="17"/>
  <c r="H9" i="4" s="1"/>
  <c r="I29" i="17" l="1"/>
  <c r="G23" i="1"/>
  <c r="J23" i="1" s="1"/>
  <c r="L23" i="1" s="1"/>
  <c r="G10" i="4"/>
  <c r="G38" i="1"/>
  <c r="K69" i="1"/>
  <c r="J32" i="1"/>
  <c r="L32" i="1" s="1"/>
  <c r="J41" i="1"/>
  <c r="L41" i="1" s="1"/>
  <c r="N41" i="1" s="1"/>
  <c r="G12" i="1"/>
  <c r="J12" i="1" s="1"/>
  <c r="L12" i="1" s="1"/>
  <c r="J11" i="1"/>
  <c r="G40" i="1"/>
  <c r="G196" i="17"/>
  <c r="G27" i="4"/>
  <c r="E74" i="17"/>
  <c r="G24" i="4"/>
  <c r="G18" i="4"/>
  <c r="L12" i="4"/>
  <c r="D177" i="17"/>
  <c r="H37" i="1" s="1"/>
  <c r="G14" i="4"/>
  <c r="J14" i="4" s="1"/>
  <c r="K12" i="4"/>
  <c r="D218" i="17"/>
  <c r="H14" i="4"/>
  <c r="K14" i="4" s="1"/>
  <c r="L14" i="4"/>
  <c r="H11" i="4"/>
  <c r="J40" i="1" l="1"/>
  <c r="L40" i="1" s="1"/>
  <c r="M24" i="4"/>
  <c r="J7" i="4"/>
  <c r="K7" i="4" s="1"/>
  <c r="J13" i="1"/>
  <c r="L11" i="1"/>
  <c r="H19" i="4"/>
  <c r="F26" i="6"/>
  <c r="F28" i="6" s="1"/>
  <c r="F18" i="4" s="1"/>
  <c r="L18" i="4" s="1"/>
  <c r="E18" i="4"/>
  <c r="K18" i="4" s="1"/>
  <c r="D26" i="6"/>
  <c r="D28" i="6" s="1"/>
  <c r="D18" i="4" s="1"/>
  <c r="J18" i="4" s="1"/>
  <c r="J14" i="1" l="1"/>
  <c r="L14" i="1" s="1"/>
  <c r="L13" i="1"/>
  <c r="H22" i="4"/>
  <c r="D25" i="5"/>
  <c r="E14" i="14" l="1"/>
  <c r="E6" i="14"/>
  <c r="E9" i="14" s="1"/>
  <c r="F36" i="14"/>
  <c r="F34" i="14"/>
  <c r="F33" i="14"/>
  <c r="C20" i="14"/>
  <c r="F20" i="14" s="1"/>
  <c r="G20" i="14" s="1"/>
  <c r="F19" i="14"/>
  <c r="F18" i="14"/>
  <c r="D16" i="14"/>
  <c r="C6" i="14"/>
  <c r="C9" i="14" s="1"/>
  <c r="F5" i="14"/>
  <c r="G5" i="14" s="1"/>
  <c r="F4" i="14"/>
  <c r="E15" i="14" l="1"/>
  <c r="F15" i="14" s="1"/>
  <c r="F14" i="14"/>
  <c r="H5" i="14"/>
  <c r="G6" i="14"/>
  <c r="G9" i="14" s="1"/>
  <c r="D6" i="14"/>
  <c r="D9" i="14" s="1"/>
  <c r="E16" i="14"/>
  <c r="F6" i="14"/>
  <c r="F9" i="14" s="1"/>
  <c r="C16" i="14"/>
  <c r="I5" i="14" l="1"/>
  <c r="H6" i="14"/>
  <c r="F16" i="14"/>
  <c r="D29" i="10"/>
  <c r="D23" i="10"/>
  <c r="D12" i="10"/>
  <c r="I6" i="14" l="1"/>
  <c r="I9" i="14" s="1"/>
  <c r="J5" i="14"/>
  <c r="J6" i="14"/>
  <c r="H9" i="14"/>
  <c r="D17" i="10"/>
  <c r="D30" i="10"/>
  <c r="D27" i="10"/>
  <c r="J9" i="14" l="1"/>
  <c r="D31" i="10"/>
  <c r="H22" i="2"/>
  <c r="H21" i="2"/>
  <c r="H20" i="2"/>
  <c r="H19" i="2"/>
  <c r="H15" i="2"/>
  <c r="H13" i="2"/>
  <c r="H12" i="2"/>
  <c r="H11" i="2"/>
  <c r="H10" i="2"/>
  <c r="K8" i="10" l="1"/>
  <c r="J12" i="10"/>
  <c r="I23" i="10"/>
  <c r="I27" i="10" s="1"/>
  <c r="J17" i="10" l="1"/>
  <c r="J23" i="10"/>
  <c r="J27" i="10" s="1"/>
  <c r="H23" i="10"/>
  <c r="G23" i="10"/>
  <c r="F23" i="10"/>
  <c r="E23" i="10"/>
  <c r="E27" i="10" s="1"/>
  <c r="C23" i="10"/>
  <c r="C12" i="10"/>
  <c r="K20" i="10"/>
  <c r="J29" i="10"/>
  <c r="I29" i="10"/>
  <c r="H29" i="10"/>
  <c r="G29" i="10"/>
  <c r="F29" i="10"/>
  <c r="E29" i="10"/>
  <c r="C29" i="10"/>
  <c r="K26" i="10"/>
  <c r="K25" i="10"/>
  <c r="K22" i="10"/>
  <c r="K21" i="10"/>
  <c r="K16" i="10"/>
  <c r="K15" i="10"/>
  <c r="K14" i="10"/>
  <c r="K11" i="10"/>
  <c r="I12" i="10"/>
  <c r="I30" i="10" s="1"/>
  <c r="H12" i="10"/>
  <c r="G12" i="10"/>
  <c r="F12" i="10"/>
  <c r="E12" i="10"/>
  <c r="K10" i="10"/>
  <c r="J30" i="10" l="1"/>
  <c r="E17" i="10"/>
  <c r="E31" i="10" s="1"/>
  <c r="E30" i="10"/>
  <c r="G17" i="10"/>
  <c r="G30" i="10"/>
  <c r="C217" i="17"/>
  <c r="F17" i="10"/>
  <c r="F30" i="10"/>
  <c r="H17" i="10"/>
  <c r="H30" i="10"/>
  <c r="C17" i="10"/>
  <c r="C30" i="10"/>
  <c r="J31" i="10"/>
  <c r="K29" i="10"/>
  <c r="E25" i="4"/>
  <c r="H25" i="4"/>
  <c r="D25" i="4"/>
  <c r="G25" i="4"/>
  <c r="H27" i="10"/>
  <c r="G27" i="10"/>
  <c r="F27" i="10"/>
  <c r="D16" i="11"/>
  <c r="D19" i="11" s="1"/>
  <c r="D21" i="11" s="1"/>
  <c r="G32" i="4" s="1"/>
  <c r="D5" i="11"/>
  <c r="D8" i="11" s="1"/>
  <c r="D10" i="11" s="1"/>
  <c r="K12" i="10"/>
  <c r="K23" i="10"/>
  <c r="C27" i="10"/>
  <c r="I17" i="10"/>
  <c r="G31" i="10" l="1"/>
  <c r="C31" i="10"/>
  <c r="H31" i="10"/>
  <c r="F31" i="10"/>
  <c r="K17" i="10"/>
  <c r="I31" i="10"/>
  <c r="C218" i="17"/>
  <c r="L62" i="1"/>
  <c r="K70" i="1"/>
  <c r="K71" i="1" s="1"/>
  <c r="N29" i="10"/>
  <c r="G28" i="4"/>
  <c r="J25" i="4"/>
  <c r="K25" i="4"/>
  <c r="H28" i="4"/>
  <c r="D54" i="6"/>
  <c r="D32" i="4" s="1"/>
  <c r="J32" i="4" s="1"/>
  <c r="K27" i="10"/>
  <c r="P27" i="10" s="1"/>
  <c r="E32" i="4"/>
  <c r="K32" i="4" s="1"/>
  <c r="K30" i="10"/>
  <c r="K31" i="10" l="1"/>
  <c r="N30" i="10"/>
  <c r="H24" i="1"/>
  <c r="H28" i="1" s="1"/>
  <c r="H29" i="4"/>
  <c r="J11" i="4"/>
  <c r="E31" i="4"/>
  <c r="G24" i="1" l="1"/>
  <c r="J24" i="1" s="1"/>
  <c r="L24" i="1" s="1"/>
  <c r="H8" i="2"/>
  <c r="E49" i="1" s="1"/>
  <c r="E52" i="1" s="1"/>
  <c r="E54" i="1" s="1"/>
  <c r="E55" i="1" s="1"/>
  <c r="G28" i="1" l="1"/>
  <c r="D85" i="17"/>
  <c r="H39" i="1"/>
  <c r="H44" i="1" s="1"/>
  <c r="N11" i="1"/>
  <c r="O12" i="1" s="1"/>
  <c r="I28" i="1"/>
  <c r="M55" i="1"/>
  <c r="I57" i="1"/>
  <c r="D88" i="17" l="1"/>
  <c r="H31" i="4"/>
  <c r="K31" i="4" l="1"/>
  <c r="H33" i="4"/>
  <c r="H39" i="4" s="1"/>
  <c r="H43" i="4" s="1"/>
  <c r="H45" i="4" s="1"/>
  <c r="D96" i="6"/>
  <c r="F48" i="6"/>
  <c r="F49" i="6" s="1"/>
  <c r="F27" i="4" s="1"/>
  <c r="F25" i="5"/>
  <c r="F28" i="5" s="1"/>
  <c r="F29" i="5" s="1"/>
  <c r="F40" i="6"/>
  <c r="F24" i="4" s="1"/>
  <c r="L24" i="4" s="1"/>
  <c r="F36" i="6"/>
  <c r="F20" i="4" s="1"/>
  <c r="L20" i="4" s="1"/>
  <c r="F21" i="6"/>
  <c r="F16" i="6"/>
  <c r="F10" i="4" s="1"/>
  <c r="L10" i="4" s="1"/>
  <c r="F11" i="6"/>
  <c r="F9" i="4" s="1"/>
  <c r="F129" i="6"/>
  <c r="F122" i="6"/>
  <c r="F111" i="6"/>
  <c r="F101" i="6"/>
  <c r="F96" i="6"/>
  <c r="F81" i="6"/>
  <c r="F83" i="6" s="1"/>
  <c r="F75" i="6"/>
  <c r="F67" i="6"/>
  <c r="F11" i="4" l="1"/>
  <c r="L9" i="4"/>
  <c r="F28" i="4"/>
  <c r="L28" i="4" s="1"/>
  <c r="L27" i="4"/>
  <c r="H51" i="4"/>
  <c r="H54" i="4" l="1"/>
  <c r="H55" i="4" s="1"/>
  <c r="F19" i="4"/>
  <c r="L11" i="4"/>
  <c r="H56" i="4" l="1"/>
  <c r="H57" i="4" s="1"/>
  <c r="F22" i="4"/>
  <c r="L19" i="4"/>
  <c r="F29" i="4" l="1"/>
  <c r="L22" i="4"/>
  <c r="G16" i="2"/>
  <c r="D16" i="2"/>
  <c r="H48" i="1" s="1"/>
  <c r="C16" i="2"/>
  <c r="C24" i="2" l="1"/>
  <c r="G47" i="1" s="1"/>
  <c r="H47" i="1"/>
  <c r="D48" i="1"/>
  <c r="H51" i="1"/>
  <c r="L29" i="4"/>
  <c r="F52" i="6"/>
  <c r="F56" i="6" s="1"/>
  <c r="F31" i="4" s="1"/>
  <c r="G24" i="2"/>
  <c r="G51" i="1" s="1"/>
  <c r="D24" i="2"/>
  <c r="G48" i="1" s="1"/>
  <c r="N53" i="1" l="1"/>
  <c r="J47" i="1"/>
  <c r="L47" i="1" s="1"/>
  <c r="F33" i="4"/>
  <c r="L31" i="4"/>
  <c r="F39" i="4" l="1"/>
  <c r="L33" i="4"/>
  <c r="F7" i="5"/>
  <c r="F31" i="5"/>
  <c r="F34" i="5" s="1"/>
  <c r="F36" i="5" s="1"/>
  <c r="F38" i="5" s="1"/>
  <c r="F39" i="5" s="1"/>
  <c r="F40" i="5" s="1"/>
  <c r="F41" i="5" s="1"/>
  <c r="B60" i="9"/>
  <c r="D122" i="6"/>
  <c r="D125" i="6"/>
  <c r="C43" i="9"/>
  <c r="D105" i="6"/>
  <c r="D111" i="6" s="1"/>
  <c r="D101" i="6"/>
  <c r="F43" i="4" l="1"/>
  <c r="L39" i="4"/>
  <c r="D81" i="6"/>
  <c r="D73" i="6"/>
  <c r="D75" i="6" s="1"/>
  <c r="D66" i="6"/>
  <c r="D64" i="6"/>
  <c r="E25" i="5"/>
  <c r="F45" i="4" l="1"/>
  <c r="L43" i="4"/>
  <c r="D83" i="6"/>
  <c r="D67" i="6"/>
  <c r="E28" i="5"/>
  <c r="F51" i="4" l="1"/>
  <c r="F54" i="4" s="1"/>
  <c r="F55" i="4" s="1"/>
  <c r="F56" i="4" s="1"/>
  <c r="F57" i="4" s="1"/>
  <c r="L45" i="4"/>
  <c r="H69" i="6"/>
  <c r="E29" i="5"/>
  <c r="D29" i="5"/>
  <c r="E20" i="4" l="1"/>
  <c r="K20" i="4" s="1"/>
  <c r="D36" i="6"/>
  <c r="D20" i="4" s="1"/>
  <c r="J20" i="4" s="1"/>
  <c r="B169" i="9"/>
  <c r="D169" i="9"/>
  <c r="E27" i="4"/>
  <c r="K27" i="4" s="1"/>
  <c r="D49" i="6"/>
  <c r="D27" i="4" s="1"/>
  <c r="J27" i="4" s="1"/>
  <c r="H173" i="9"/>
  <c r="E24" i="4"/>
  <c r="D40" i="6"/>
  <c r="D24" i="4" s="1"/>
  <c r="D28" i="4" l="1"/>
  <c r="J28" i="4" s="1"/>
  <c r="J24" i="4"/>
  <c r="K24" i="4"/>
  <c r="E28" i="4"/>
  <c r="K28" i="4" s="1"/>
  <c r="D21" i="6"/>
  <c r="D16" i="6"/>
  <c r="D10" i="4" s="1"/>
  <c r="E10" i="4"/>
  <c r="K10" i="4" s="1"/>
  <c r="D158" i="9"/>
  <c r="E9" i="4"/>
  <c r="D11" i="6"/>
  <c r="D9" i="4" s="1"/>
  <c r="B74" i="9"/>
  <c r="B72" i="9"/>
  <c r="B20" i="9"/>
  <c r="B91" i="9"/>
  <c r="B34" i="9"/>
  <c r="H64" i="9"/>
  <c r="B176" i="9"/>
  <c r="B173" i="9"/>
  <c r="B166" i="9"/>
  <c r="B153" i="9"/>
  <c r="B154" i="9" s="1"/>
  <c r="G165" i="9"/>
  <c r="B113" i="9"/>
  <c r="E11" i="4" l="1"/>
  <c r="K9" i="4"/>
  <c r="D11" i="4"/>
  <c r="D19" i="4" s="1"/>
  <c r="F55" i="1"/>
  <c r="B179" i="9"/>
  <c r="G173" i="9"/>
  <c r="B82" i="9"/>
  <c r="H40" i="9"/>
  <c r="H39" i="9"/>
  <c r="H38" i="9"/>
  <c r="H37" i="9"/>
  <c r="D22" i="4" l="1"/>
  <c r="E19" i="4"/>
  <c r="K11" i="4"/>
  <c r="H41" i="9"/>
  <c r="I55" i="9"/>
  <c r="I52" i="9"/>
  <c r="E22" i="4" l="1"/>
  <c r="K19" i="4"/>
  <c r="D29" i="4"/>
  <c r="D129" i="6"/>
  <c r="I56" i="9"/>
  <c r="I58" i="9" s="1"/>
  <c r="D52" i="6" l="1"/>
  <c r="D56" i="6" s="1"/>
  <c r="D31" i="4" s="1"/>
  <c r="E29" i="4"/>
  <c r="K22" i="4"/>
  <c r="E36" i="7"/>
  <c r="D33" i="4" l="1"/>
  <c r="D39" i="4" s="1"/>
  <c r="D43" i="4" s="1"/>
  <c r="D45" i="4" s="1"/>
  <c r="D51" i="4" s="1"/>
  <c r="D54" i="4" s="1"/>
  <c r="D55" i="4" s="1"/>
  <c r="D56" i="4" s="1"/>
  <c r="D57" i="4" s="1"/>
  <c r="E33" i="4"/>
  <c r="K29" i="4"/>
  <c r="C36" i="7"/>
  <c r="C24" i="9"/>
  <c r="D31" i="5" l="1"/>
  <c r="D34" i="5" s="1"/>
  <c r="D36" i="5" s="1"/>
  <c r="D38" i="5" s="1"/>
  <c r="D39" i="5" s="1"/>
  <c r="D40" i="5" s="1"/>
  <c r="D41" i="5" s="1"/>
  <c r="D7" i="5"/>
  <c r="E39" i="4"/>
  <c r="K33" i="4"/>
  <c r="E7" i="5"/>
  <c r="E31" i="5"/>
  <c r="E34" i="5" s="1"/>
  <c r="E36" i="5" s="1"/>
  <c r="E38" i="5" s="1"/>
  <c r="E39" i="5" s="1"/>
  <c r="E40" i="5" s="1"/>
  <c r="E41" i="5" s="1"/>
  <c r="H9" i="2"/>
  <c r="F16" i="2"/>
  <c r="B51" i="9"/>
  <c r="H50" i="1" l="1"/>
  <c r="E43" i="4"/>
  <c r="K39" i="4"/>
  <c r="E16" i="2"/>
  <c r="I21" i="2" s="1"/>
  <c r="H14" i="2"/>
  <c r="H16" i="2" s="1"/>
  <c r="D49" i="1" s="1"/>
  <c r="D52" i="1" s="1"/>
  <c r="D54" i="1" s="1"/>
  <c r="D55" i="1" s="1"/>
  <c r="E10" i="7"/>
  <c r="E8" i="7"/>
  <c r="D178" i="9"/>
  <c r="D176" i="9"/>
  <c r="D173" i="9"/>
  <c r="D153" i="9"/>
  <c r="D126" i="9"/>
  <c r="D125" i="9"/>
  <c r="D119" i="9"/>
  <c r="D118" i="9"/>
  <c r="D113" i="9"/>
  <c r="D109" i="9"/>
  <c r="D110" i="9" s="1"/>
  <c r="D112" i="9" s="1"/>
  <c r="D104" i="9"/>
  <c r="D91" i="9"/>
  <c r="D61" i="9"/>
  <c r="D56" i="9"/>
  <c r="D52" i="9"/>
  <c r="E24" i="9"/>
  <c r="H49" i="1" l="1"/>
  <c r="H52" i="1" s="1"/>
  <c r="H54" i="1" s="1"/>
  <c r="H55" i="1" s="1"/>
  <c r="D114" i="9"/>
  <c r="E45" i="4"/>
  <c r="K43" i="4"/>
  <c r="I173" i="9"/>
  <c r="B22" i="9"/>
  <c r="C22" i="9" s="1"/>
  <c r="E51" i="4" l="1"/>
  <c r="E54" i="4" s="1"/>
  <c r="E55" i="4" s="1"/>
  <c r="E56" i="4" s="1"/>
  <c r="E57" i="4" s="1"/>
  <c r="K45" i="4"/>
  <c r="D128" i="9"/>
  <c r="E32" i="7" s="1"/>
  <c r="B188" i="9" l="1"/>
  <c r="C10" i="7" l="1"/>
  <c r="C8" i="7"/>
  <c r="B128" i="9"/>
  <c r="D194" i="9"/>
  <c r="E21" i="8" s="1"/>
  <c r="D179" i="9"/>
  <c r="E15" i="8" s="1"/>
  <c r="B140" i="9"/>
  <c r="D140" i="9"/>
  <c r="E9" i="8" s="1"/>
  <c r="E43" i="9"/>
  <c r="E39" i="9"/>
  <c r="E35" i="9"/>
  <c r="E22" i="9"/>
  <c r="E18" i="9"/>
  <c r="C32" i="7" l="1"/>
  <c r="E30" i="9"/>
  <c r="E12" i="7" s="1"/>
  <c r="C18" i="9"/>
  <c r="D94" i="9"/>
  <c r="E28" i="7" s="1"/>
  <c r="B94" i="9"/>
  <c r="C28" i="7" s="1"/>
  <c r="D188" i="9"/>
  <c r="E17" i="8" s="1"/>
  <c r="C10" i="8" l="1"/>
  <c r="D160" i="9"/>
  <c r="E14" i="8" s="1"/>
  <c r="D154" i="9"/>
  <c r="E10" i="8" s="1"/>
  <c r="B160" i="9" l="1"/>
  <c r="C14" i="8" s="1"/>
  <c r="C15" i="8" l="1"/>
  <c r="C18" i="8" l="1"/>
  <c r="J13" i="8"/>
  <c r="B103" i="9"/>
  <c r="E18" i="8" l="1"/>
  <c r="D62" i="9"/>
  <c r="E16" i="7" l="1"/>
  <c r="C9" i="8" l="1"/>
  <c r="C11" i="8" s="1"/>
  <c r="E11" i="8" l="1"/>
  <c r="E20" i="8" s="1"/>
  <c r="E23" i="8" s="1"/>
  <c r="D26" i="9" s="1"/>
  <c r="C20" i="8"/>
  <c r="B57" i="9" s="1"/>
  <c r="J12" i="8" l="1"/>
  <c r="B191" i="9"/>
  <c r="B62" i="9" s="1"/>
  <c r="E114" i="9"/>
  <c r="D103" i="9"/>
  <c r="D105" i="9" s="1"/>
  <c r="E105" i="9" s="1"/>
  <c r="D84" i="9"/>
  <c r="E26" i="7" s="1"/>
  <c r="E74" i="9"/>
  <c r="E69" i="9"/>
  <c r="B84" i="9"/>
  <c r="C26" i="7" s="1"/>
  <c r="C16" i="7" l="1"/>
  <c r="E115" i="9"/>
  <c r="E30" i="7" s="1"/>
  <c r="E44" i="9"/>
  <c r="E14" i="7" s="1"/>
  <c r="E18" i="7" s="1"/>
  <c r="E75" i="9"/>
  <c r="B110" i="9"/>
  <c r="B112" i="9" s="1"/>
  <c r="B114" i="9" s="1"/>
  <c r="C114" i="9" s="1"/>
  <c r="B105" i="9"/>
  <c r="C105" i="9" s="1"/>
  <c r="E24" i="7" l="1"/>
  <c r="E34" i="7" s="1"/>
  <c r="C115" i="9"/>
  <c r="C30" i="7" s="1"/>
  <c r="C74" i="9" l="1"/>
  <c r="C69" i="9"/>
  <c r="C39" i="9"/>
  <c r="C35" i="9"/>
  <c r="C75" i="9" l="1"/>
  <c r="C44" i="9"/>
  <c r="C24" i="7" l="1"/>
  <c r="C34" i="7" s="1"/>
  <c r="C14" i="7"/>
  <c r="B194" i="9"/>
  <c r="C21" i="8" s="1"/>
  <c r="C23" i="8" l="1"/>
  <c r="B26" i="9" s="1"/>
  <c r="C30" i="9" s="1"/>
  <c r="C12" i="7" l="1"/>
  <c r="C18" i="7" l="1"/>
  <c r="C174" i="17"/>
  <c r="C177" i="17" l="1"/>
  <c r="F164" i="17" l="1"/>
  <c r="G37" i="1"/>
  <c r="J37" i="1" l="1"/>
  <c r="L37" i="1" l="1"/>
  <c r="L63" i="1" l="1"/>
  <c r="L64" i="1" s="1"/>
  <c r="C10" i="17"/>
  <c r="G9" i="4" s="1"/>
  <c r="J9" i="4" l="1"/>
  <c r="J10" i="4"/>
  <c r="J12" i="4" s="1"/>
  <c r="J13" i="4" s="1"/>
  <c r="J6" i="4"/>
  <c r="G11" i="4"/>
  <c r="G19" i="4" s="1"/>
  <c r="G22" i="4" l="1"/>
  <c r="J19" i="4"/>
  <c r="J22" i="4" l="1"/>
  <c r="G29" i="4"/>
  <c r="M29" i="4" l="1"/>
  <c r="N29" i="4"/>
  <c r="I26" i="4"/>
  <c r="J29" i="4"/>
  <c r="C85" i="17" l="1"/>
  <c r="G39" i="1"/>
  <c r="J39" i="1" l="1"/>
  <c r="G44" i="1"/>
  <c r="C88" i="17"/>
  <c r="G31" i="4"/>
  <c r="J31" i="4" l="1"/>
  <c r="O41" i="1"/>
  <c r="O42" i="1" s="1"/>
  <c r="O44" i="1" s="1"/>
  <c r="G33" i="4"/>
  <c r="I44" i="1"/>
  <c r="L39" i="1"/>
  <c r="K64" i="1" l="1"/>
  <c r="G39" i="4"/>
  <c r="J33" i="4"/>
  <c r="J39" i="4" l="1"/>
  <c r="G43" i="4"/>
  <c r="F18" i="2"/>
  <c r="J43" i="4" l="1"/>
  <c r="G45" i="4"/>
  <c r="H18" i="2"/>
  <c r="E23" i="2"/>
  <c r="F23" i="2" l="1"/>
  <c r="F24" i="2" s="1"/>
  <c r="E24" i="2"/>
  <c r="G51" i="4"/>
  <c r="G54" i="4" s="1"/>
  <c r="G55" i="4" s="1"/>
  <c r="G56" i="4" s="1"/>
  <c r="G57" i="4" s="1"/>
  <c r="J45" i="4"/>
  <c r="C225" i="17"/>
  <c r="C230" i="17" s="1"/>
  <c r="H23" i="2" l="1"/>
  <c r="H24" i="2" s="1"/>
  <c r="I22" i="2"/>
  <c r="I20" i="2" s="1"/>
  <c r="G49" i="1"/>
  <c r="I23" i="2"/>
  <c r="I24" i="2" s="1"/>
  <c r="G50" i="1" l="1"/>
  <c r="N52" i="1" s="1"/>
  <c r="N51" i="1"/>
  <c r="K61" i="1"/>
  <c r="I54" i="1" l="1"/>
  <c r="L61" i="1"/>
  <c r="G52" i="1"/>
  <c r="G54" i="1" s="1"/>
  <c r="K62" i="1"/>
  <c r="K63" i="1" s="1"/>
  <c r="K65" i="1" s="1"/>
  <c r="J50" i="1"/>
  <c r="L50" i="1" s="1"/>
  <c r="I34" i="1"/>
  <c r="I50" i="1"/>
  <c r="N55" i="1"/>
  <c r="O50" i="1" l="1"/>
  <c r="J53" i="1"/>
  <c r="L53" i="1" s="1"/>
  <c r="G55" i="1"/>
  <c r="J60" i="1" s="1"/>
  <c r="K55" i="1" l="1"/>
  <c r="L55" i="1" s="1"/>
</calcChain>
</file>

<file path=xl/sharedStrings.xml><?xml version="1.0" encoding="utf-8"?>
<sst xmlns="http://schemas.openxmlformats.org/spreadsheetml/2006/main" count="945" uniqueCount="577">
  <si>
    <t>LIABILITIES</t>
  </si>
  <si>
    <t>Schedule No.</t>
  </si>
  <si>
    <t>Share Capital</t>
  </si>
  <si>
    <t>Reserve &amp; Surplus</t>
  </si>
  <si>
    <t>Deposits</t>
  </si>
  <si>
    <t>Other liabilities &amp; provisions</t>
  </si>
  <si>
    <t>ASSETS</t>
  </si>
  <si>
    <t>Cash &amp; balance with RMA</t>
  </si>
  <si>
    <t>Balance with Banks</t>
  </si>
  <si>
    <t>Fixed Assets</t>
  </si>
  <si>
    <t>Other Assets</t>
  </si>
  <si>
    <t>Contingent Liabilities</t>
  </si>
  <si>
    <t>Significant Accounting Policies</t>
  </si>
  <si>
    <t>Notes on Accounts</t>
  </si>
  <si>
    <t>The schedules referred to above form an integral part of the Balance Sheet</t>
  </si>
  <si>
    <t xml:space="preserve">                            (CEO)</t>
  </si>
  <si>
    <t xml:space="preserve">     (Director)</t>
  </si>
  <si>
    <t>Signed in terms of our attached report of even date</t>
  </si>
  <si>
    <t>Chartered Accountants</t>
  </si>
  <si>
    <t>Schedule 1: Share Capital</t>
  </si>
  <si>
    <t>Authorised Capital</t>
  </si>
  <si>
    <t>Issued and Paid Up</t>
  </si>
  <si>
    <t>Total</t>
  </si>
  <si>
    <t>Current Deposits</t>
  </si>
  <si>
    <t>Savings Bank Deposits</t>
  </si>
  <si>
    <t>Fixed Deposits</t>
  </si>
  <si>
    <t>Recurring Deposits</t>
  </si>
  <si>
    <t>Balance from other banks in Current Deposits</t>
  </si>
  <si>
    <t>Bills payable</t>
  </si>
  <si>
    <t>Others</t>
  </si>
  <si>
    <t>BTN</t>
  </si>
  <si>
    <t>INR</t>
  </si>
  <si>
    <t>FC</t>
  </si>
  <si>
    <t>CRR with RMA</t>
  </si>
  <si>
    <t>Balance with RMA</t>
  </si>
  <si>
    <t>Balance with Banks in India &amp; third countries</t>
  </si>
  <si>
    <t>Current Account</t>
  </si>
  <si>
    <t>Current Account in Bhutan</t>
  </si>
  <si>
    <t>Demand loans</t>
  </si>
  <si>
    <t>Cash Credit</t>
  </si>
  <si>
    <t>Overdraft etc</t>
  </si>
  <si>
    <t>Term Loan</t>
  </si>
  <si>
    <t>Leased Premises</t>
  </si>
  <si>
    <t>Addition during the year</t>
  </si>
  <si>
    <t>SFF &amp; MCC</t>
  </si>
  <si>
    <t>Sold during the year</t>
  </si>
  <si>
    <t>Less: Depreciation Reserve</t>
  </si>
  <si>
    <t>Interest accrued</t>
  </si>
  <si>
    <t>Interest from Loans &amp; Advances</t>
  </si>
  <si>
    <t>Commission &amp; Exchange</t>
  </si>
  <si>
    <t>Exchange Profit</t>
  </si>
  <si>
    <t>Interest paid on Deposits</t>
  </si>
  <si>
    <t>INCOME</t>
  </si>
  <si>
    <t>Interest earned</t>
  </si>
  <si>
    <t>Other Income</t>
  </si>
  <si>
    <t>EXPENDITURE</t>
  </si>
  <si>
    <t>Interest Expended</t>
  </si>
  <si>
    <t>Operating Expenses</t>
  </si>
  <si>
    <t>Provisions &amp; Contingencies</t>
  </si>
  <si>
    <t>The schedules referred to above form an integral part of the Profit &amp; Loss Account</t>
  </si>
  <si>
    <t xml:space="preserve">        Nu.                   Ch.</t>
  </si>
  <si>
    <t>Demand Deposits:</t>
  </si>
  <si>
    <t>Term Deposits:</t>
  </si>
  <si>
    <t>Other Accounts:</t>
  </si>
  <si>
    <t>Cash in hand:</t>
  </si>
  <si>
    <t>Loans &amp; Advances</t>
  </si>
  <si>
    <t>Subordinated Term Debts</t>
  </si>
  <si>
    <t>Tier I</t>
  </si>
  <si>
    <t>Tier II</t>
  </si>
  <si>
    <t>Subordinated term debts</t>
  </si>
  <si>
    <t>Interest accrued on deposits</t>
  </si>
  <si>
    <t>Balance with other offices</t>
  </si>
  <si>
    <t>Bills discounted &amp; Pruchased</t>
  </si>
  <si>
    <t>Deposit Account in Bhutan</t>
  </si>
  <si>
    <t>Schedule 2: Reserves &amp; Surplus</t>
  </si>
  <si>
    <t>Schedule 3: Deposits</t>
  </si>
  <si>
    <t>Schedule 4: Other Liabilities &amp; Provisions</t>
  </si>
  <si>
    <t>Schedule 5: Cash &amp; Balances with RMA</t>
  </si>
  <si>
    <t>Schedule 7: Loans &amp; Advances</t>
  </si>
  <si>
    <t>Schedule 8: Fixed Assets</t>
  </si>
  <si>
    <t>Acceptance, endorsement &amp; other obligations</t>
  </si>
  <si>
    <t>Interest from Deposits with Banks in Bhutan</t>
  </si>
  <si>
    <t>Provision for income tax</t>
  </si>
  <si>
    <t>Schedule 6: Balance with other Banks</t>
  </si>
  <si>
    <t>Profit /Loss before tax</t>
  </si>
  <si>
    <t>Provision - Gratuity</t>
  </si>
  <si>
    <t>provision - Loans - General</t>
  </si>
  <si>
    <t xml:space="preserve">                                 - Specific</t>
  </si>
  <si>
    <t>Payment &amp; Provision for employees</t>
  </si>
  <si>
    <t>Travelling expenses</t>
  </si>
  <si>
    <t>Audit fees &amp; expenses</t>
  </si>
  <si>
    <t>Outsourcing of Financial services</t>
  </si>
  <si>
    <t>Other expenses</t>
  </si>
  <si>
    <t>Preliminary Expenses</t>
  </si>
  <si>
    <t>Schedule 9: Other Assets</t>
  </si>
  <si>
    <t>Contribution for Training Institute</t>
  </si>
  <si>
    <t>Other Interest Income</t>
  </si>
  <si>
    <t>Depreciation on Fixed Assets</t>
  </si>
  <si>
    <t>Share Premium</t>
  </si>
  <si>
    <t>Govt. T Bills</t>
  </si>
  <si>
    <t>Software</t>
  </si>
  <si>
    <t>Advances made recoverable/Adjustable</t>
  </si>
  <si>
    <t>AMC</t>
  </si>
  <si>
    <t>Interest paid on Subordinated Term debts</t>
  </si>
  <si>
    <t>Margin Money</t>
  </si>
  <si>
    <t>Suspended interest</t>
  </si>
  <si>
    <t>Stationery in hand</t>
  </si>
  <si>
    <t>Inward clearing cheques</t>
  </si>
  <si>
    <t>Incidental charges deposits</t>
  </si>
  <si>
    <t>Income from FC</t>
  </si>
  <si>
    <t>ATM/Kiosk charges</t>
  </si>
  <si>
    <t>Provisions against loans:</t>
  </si>
  <si>
    <t xml:space="preserve">                                General</t>
  </si>
  <si>
    <t xml:space="preserve">                                Dynamic</t>
  </si>
  <si>
    <t xml:space="preserve">                                Specific</t>
  </si>
  <si>
    <t>Locker Rent</t>
  </si>
  <si>
    <t>Advance I.Tax</t>
  </si>
  <si>
    <t>Tax Deducted at Source</t>
  </si>
  <si>
    <t>Interest  Receivable</t>
  </si>
  <si>
    <t xml:space="preserve">                                  -Dynamic</t>
  </si>
  <si>
    <t>Tax for the earlier period</t>
  </si>
  <si>
    <t xml:space="preserve">                                  Others</t>
  </si>
  <si>
    <t>Tax for the year</t>
  </si>
  <si>
    <t>Miscellaneous tax paid</t>
  </si>
  <si>
    <t xml:space="preserve">              (Chairman)</t>
  </si>
  <si>
    <t xml:space="preserve">                                          (Chairman)</t>
  </si>
  <si>
    <t>Dividend</t>
  </si>
  <si>
    <t>General Reserve</t>
  </si>
  <si>
    <t>Transferred from Profit &amp; Loss account</t>
  </si>
  <si>
    <t>Closing Balance</t>
  </si>
  <si>
    <t>Profit &amp; Loss Account</t>
  </si>
  <si>
    <t>Less: Transferred to General Reserve</t>
  </si>
  <si>
    <t>Proposed Dividend</t>
  </si>
  <si>
    <t>Foreign Exchange Fluctuation Reserve</t>
  </si>
  <si>
    <t>As at 31/12/2013</t>
  </si>
  <si>
    <t>For M. P. Sureka &amp; Co.</t>
  </si>
  <si>
    <t>FRN - 322097E</t>
  </si>
  <si>
    <t xml:space="preserve">               (Mazhar Bhati)</t>
  </si>
  <si>
    <t xml:space="preserve">                      Partner</t>
  </si>
  <si>
    <t xml:space="preserve">        (Membership No. 300367)</t>
  </si>
  <si>
    <t>Schedule 10:  Contingent Liabilities</t>
  </si>
  <si>
    <t>Schedule 11: Interest earned</t>
  </si>
  <si>
    <t>Schedule 12: Other Income</t>
  </si>
  <si>
    <t>Schedule 13: Interest Expenses</t>
  </si>
  <si>
    <t>Schedule 14: Operating Expenses</t>
  </si>
  <si>
    <t>Schedule 15: Provisions and Contingencies</t>
  </si>
  <si>
    <t>Schedule 16: Provisions for Income tax</t>
  </si>
  <si>
    <t>For the year ended 31/12/2013</t>
  </si>
  <si>
    <t>Directors' sitting fee</t>
  </si>
  <si>
    <t>Communication and networking</t>
  </si>
  <si>
    <t>Rental (Premises)</t>
  </si>
  <si>
    <t>Prepaid expenses</t>
  </si>
  <si>
    <t>Particulars</t>
  </si>
  <si>
    <t>Issue of share capital</t>
  </si>
  <si>
    <t>NOTES TO ACCOUNTS</t>
  </si>
  <si>
    <t>Current Account with RMA</t>
  </si>
  <si>
    <t>Repair to SFF</t>
  </si>
  <si>
    <t>Stationery, printing and advertisement</t>
  </si>
  <si>
    <t>As on 31/12/2013</t>
  </si>
  <si>
    <t>Total Cost as on 31.12.2014</t>
  </si>
  <si>
    <t>Less Depreciation Reserve as on 31.12.2014</t>
  </si>
  <si>
    <t>At cost as on 31/12/2013</t>
  </si>
  <si>
    <t xml:space="preserve">                                                                                  DRUK PNB BANK LIMITED</t>
  </si>
  <si>
    <t xml:space="preserve">                                                            DRUK PNB BANK LIMITED</t>
  </si>
  <si>
    <t xml:space="preserve">                                                 Profit and Loss Account for the year ended 31st December 2014</t>
  </si>
  <si>
    <t>As at 31/12/2014</t>
  </si>
  <si>
    <t>For the year ended 31/12/2014</t>
  </si>
  <si>
    <t>GP</t>
  </si>
  <si>
    <t>SP</t>
  </si>
  <si>
    <t>31/12/2013</t>
  </si>
  <si>
    <t>31/12/2014</t>
  </si>
  <si>
    <t>To be provided</t>
  </si>
  <si>
    <t>Dynamic Provision brought down</t>
  </si>
  <si>
    <t>Total additional provision to be provided</t>
  </si>
  <si>
    <t>BNBL</t>
  </si>
  <si>
    <t>BDBL</t>
  </si>
  <si>
    <t>BOBL</t>
  </si>
  <si>
    <t>Tbank</t>
  </si>
  <si>
    <t>60% of 144,000 unsecured Bonds of Nu.1000 each+150,000 Bonds of Nu.1,000 each under Govt. ESP</t>
  </si>
  <si>
    <t>100,000,000 shares of Nu.10 each</t>
  </si>
  <si>
    <t>44,971,230 shares of Nu. 10 each</t>
  </si>
  <si>
    <t xml:space="preserve">Earlier year expenses written back </t>
  </si>
  <si>
    <t>Contribution to CIB Bhutan</t>
  </si>
  <si>
    <t>Earlier year expenses written back</t>
  </si>
  <si>
    <t xml:space="preserve">                    Balance Sheet as at 31st December, 2014 (Provisional)</t>
  </si>
  <si>
    <t>4.</t>
  </si>
  <si>
    <t>Interest and similar income</t>
  </si>
  <si>
    <t>5.</t>
  </si>
  <si>
    <t>Interest and similar expense</t>
  </si>
  <si>
    <t>Net fees and commission income</t>
  </si>
  <si>
    <t>6.</t>
  </si>
  <si>
    <t>Fees and commission income</t>
  </si>
  <si>
    <t>Fees and commission expenses</t>
  </si>
  <si>
    <t>7.</t>
  </si>
  <si>
    <t>Other operating income</t>
  </si>
  <si>
    <t>Other</t>
  </si>
  <si>
    <t>8.</t>
  </si>
  <si>
    <t>9.</t>
  </si>
  <si>
    <t>10.</t>
  </si>
  <si>
    <t>Personnel expenses</t>
  </si>
  <si>
    <t>Salaries and other allowances</t>
  </si>
  <si>
    <t>Cost:</t>
  </si>
  <si>
    <t>Additions</t>
  </si>
  <si>
    <t>Disposals</t>
  </si>
  <si>
    <t>Exchange adjustment</t>
  </si>
  <si>
    <t>Depreciation and impairment:</t>
  </si>
  <si>
    <t>Depreciation charge for the year</t>
  </si>
  <si>
    <t>Amount in Nu.</t>
  </si>
  <si>
    <t>Other operating expenses</t>
  </si>
  <si>
    <t>Advertising and marketing</t>
  </si>
  <si>
    <t>Administrative</t>
  </si>
  <si>
    <t>Professional fees</t>
  </si>
  <si>
    <t>Rental charges payable under operating leases</t>
  </si>
  <si>
    <t>Current tax for the year</t>
  </si>
  <si>
    <t>Notes</t>
  </si>
  <si>
    <t>Net interest income</t>
  </si>
  <si>
    <t>Fees and commission expense</t>
  </si>
  <si>
    <t>Net fee and commission income</t>
  </si>
  <si>
    <t>Net trading income</t>
  </si>
  <si>
    <t>Net gain (loss) on financial assets and liabilities</t>
  </si>
  <si>
    <t>designated at fair value through profit or loss</t>
  </si>
  <si>
    <t>Total operating income</t>
  </si>
  <si>
    <t>Impairment losses on financial investments</t>
  </si>
  <si>
    <t>Net operating income</t>
  </si>
  <si>
    <t>Depreciation of property and equipment</t>
  </si>
  <si>
    <t>Amortisation of intangible assets</t>
  </si>
  <si>
    <t>Total operating expenses</t>
  </si>
  <si>
    <t>Profit before tax from continuing operations</t>
  </si>
  <si>
    <t>Profit for the year from continuing operations</t>
  </si>
  <si>
    <t>Discontinued operations</t>
  </si>
  <si>
    <t>Profit after tax for the year from discontinued operations</t>
  </si>
  <si>
    <t>Profit for the year</t>
  </si>
  <si>
    <t>Attributable to:</t>
  </si>
  <si>
    <t>Equity holders of the parent</t>
  </si>
  <si>
    <t>Profit for the year from discontinued operations</t>
  </si>
  <si>
    <t>Profit for the year attributable to equity holders of the parent</t>
  </si>
  <si>
    <t>Non-Controlling Interest</t>
  </si>
  <si>
    <t>Profit for the year attributable to non-controlling interests</t>
  </si>
  <si>
    <t>Earnings per share</t>
  </si>
  <si>
    <t>Basic earnings per share</t>
  </si>
  <si>
    <t>Diluted earnings per share</t>
  </si>
  <si>
    <t>Basic earnings per share from continuing operations</t>
  </si>
  <si>
    <t>Diluted earnings per share from continuing operations</t>
  </si>
  <si>
    <t>1.</t>
  </si>
  <si>
    <t>2.</t>
  </si>
  <si>
    <t>3.</t>
  </si>
  <si>
    <t>Credit loss expenses</t>
  </si>
  <si>
    <t>Other comprehensive income</t>
  </si>
  <si>
    <t>Net gain on hedge of net investments</t>
  </si>
  <si>
    <t>Exchange differences on translation of foreign operations</t>
  </si>
  <si>
    <t>Cash flow hedges:</t>
  </si>
  <si>
    <t>Gains arising during the year</t>
  </si>
  <si>
    <t>Less: Reclassification adjustments for (loss) included</t>
  </si>
  <si>
    <t>in the income statement</t>
  </si>
  <si>
    <t>Net gain on cash flow hedges</t>
  </si>
  <si>
    <t>Available-for-sale financial assets:</t>
  </si>
  <si>
    <t>Loss arising during the year</t>
  </si>
  <si>
    <t>Recycling to income statement for impairment</t>
  </si>
  <si>
    <t>Less: Reclassification adjustments for gain/(loss) included</t>
  </si>
  <si>
    <t>Net loss on available-for-sale financial assets</t>
  </si>
  <si>
    <t>Total other comprehensive income</t>
  </si>
  <si>
    <t>Income tax (charge)/credit relating to components of</t>
  </si>
  <si>
    <t>other comprehensive income</t>
  </si>
  <si>
    <t>Other comprehensive income for the year, net of tax</t>
  </si>
  <si>
    <t>Total comprehensive income for the year, net of tax</t>
  </si>
  <si>
    <t>Non-controlling interest</t>
  </si>
  <si>
    <t>Deferred tax</t>
  </si>
  <si>
    <t>Dividend income</t>
  </si>
  <si>
    <t>Assets</t>
  </si>
  <si>
    <t>Cash and balances with central banks</t>
  </si>
  <si>
    <t>Due from banks</t>
  </si>
  <si>
    <t>Cash collateral on securities borrowed and reverse</t>
  </si>
  <si>
    <t>repurchase agreements</t>
  </si>
  <si>
    <t>Derivative financial instruments</t>
  </si>
  <si>
    <t>Other financial assets held for trading</t>
  </si>
  <si>
    <t>Financial assets held for trading pledged as collateral</t>
  </si>
  <si>
    <t>Financial assets designated at fair value through profit or loss</t>
  </si>
  <si>
    <t>Loans and advances to customers</t>
  </si>
  <si>
    <t>Financial investments – available-for-sale</t>
  </si>
  <si>
    <t>Financial investments – available-for-sale pledged as collateral</t>
  </si>
  <si>
    <t>Financial investments – held-to-maturity</t>
  </si>
  <si>
    <t>Other assets</t>
  </si>
  <si>
    <t>Goodwill and other intangible assets</t>
  </si>
  <si>
    <t>Deferred tax assets</t>
  </si>
  <si>
    <t>Non-current assets and disposal groups held for sale</t>
  </si>
  <si>
    <t>Total assets</t>
  </si>
  <si>
    <t>Due to banks</t>
  </si>
  <si>
    <t>Cash collateral on securities lent and repurchase agreements</t>
  </si>
  <si>
    <t>Other financial liabilities held for trading</t>
  </si>
  <si>
    <t>Financial liabilities designated at fair value through profit or loss</t>
  </si>
  <si>
    <t>Due to customers</t>
  </si>
  <si>
    <t>Debt issued and other borrowed funds</t>
  </si>
  <si>
    <t>Current tax liabilities</t>
  </si>
  <si>
    <t>Other liabilities</t>
  </si>
  <si>
    <t>Provisions</t>
  </si>
  <si>
    <t>Deferred tax liabilities</t>
  </si>
  <si>
    <t>Non-current liabilities and disposal groups held for sale</t>
  </si>
  <si>
    <t>Total liabilities</t>
  </si>
  <si>
    <t>Equity attributable to equity holders of parent</t>
  </si>
  <si>
    <t>Issued capital</t>
  </si>
  <si>
    <t>Share premium</t>
  </si>
  <si>
    <t>Retained earnings</t>
  </si>
  <si>
    <t>Total equity</t>
  </si>
  <si>
    <t>Total liabilities and equity</t>
  </si>
  <si>
    <t>Current account with the Central Bank</t>
  </si>
  <si>
    <t>CRR with the Central Bank</t>
  </si>
  <si>
    <t>11.</t>
  </si>
  <si>
    <t>12.</t>
  </si>
  <si>
    <t>14.</t>
  </si>
  <si>
    <t>15.</t>
  </si>
  <si>
    <t>Due to Customers</t>
  </si>
  <si>
    <t>16.</t>
  </si>
  <si>
    <t>17.</t>
  </si>
  <si>
    <t>Other Liabilities</t>
  </si>
  <si>
    <t>Interest Payable</t>
  </si>
  <si>
    <t>Accounts Payable and sundry creditors</t>
  </si>
  <si>
    <t>Suspended Interest</t>
  </si>
  <si>
    <t>Provision - Loans - General</t>
  </si>
  <si>
    <t xml:space="preserve">                                     - Specific</t>
  </si>
  <si>
    <t xml:space="preserve">                                    - Dynamic</t>
  </si>
  <si>
    <t>18.</t>
  </si>
  <si>
    <t>60% of 144000 unsecured Bonds of Nu. 1000 each</t>
  </si>
  <si>
    <t>and 150000 Bonds of Nu. 1000 each under Govt. ESP</t>
  </si>
  <si>
    <t>Total comprehensive income</t>
  </si>
  <si>
    <t>Share-based payments</t>
  </si>
  <si>
    <t>Dividends of subsidiaries</t>
  </si>
  <si>
    <t>December 31, 2013</t>
  </si>
  <si>
    <t>December 31, 2014</t>
  </si>
  <si>
    <t>January 1, 2013</t>
  </si>
  <si>
    <t>As at</t>
  </si>
  <si>
    <t>Tax for earlier year period</t>
  </si>
  <si>
    <t>Foreign Fluctuation Reserve</t>
  </si>
  <si>
    <t>Retained Earnings</t>
  </si>
  <si>
    <t>Transfer to Foreign Fluctuation Reserve</t>
  </si>
  <si>
    <t>Property, Plant and equipment</t>
  </si>
  <si>
    <t>Remittances in Transit</t>
  </si>
  <si>
    <t>Tax expenses</t>
  </si>
  <si>
    <t>NPA Provisions</t>
  </si>
  <si>
    <t>Balances with other offices</t>
  </si>
  <si>
    <t>Steel items</t>
  </si>
  <si>
    <t>Misc. Items</t>
  </si>
  <si>
    <t>Deferred Tax Liability</t>
  </si>
  <si>
    <t>Deferred tax Libaility/(Assets)</t>
  </si>
  <si>
    <t>Depreciation as per IT during the year</t>
  </si>
  <si>
    <t>Depreciation as per BAS (based on useful life) during the year</t>
  </si>
  <si>
    <t>(A)</t>
  </si>
  <si>
    <t>Transfer to General Reserve</t>
  </si>
  <si>
    <t>Vehicles</t>
  </si>
  <si>
    <t>Issued Capital</t>
  </si>
  <si>
    <t>General Reserve (Statutory Reserve)</t>
  </si>
  <si>
    <t>Foreign Flucutaion Reserve</t>
  </si>
  <si>
    <t>Total Equity</t>
  </si>
  <si>
    <t>-Assets</t>
  </si>
  <si>
    <t>-Liabilities</t>
  </si>
  <si>
    <t>Statement of Comprehensive Income
as at 31 December 2014</t>
  </si>
  <si>
    <t>As at 31-December-2014</t>
  </si>
  <si>
    <t>As at 31-December-2013</t>
  </si>
  <si>
    <t>As at 01 January-2013</t>
  </si>
  <si>
    <t>Land and Building</t>
  </si>
  <si>
    <t>Machinery &amp; Furniture Fittings</t>
  </si>
  <si>
    <t>Wooden Articles</t>
  </si>
  <si>
    <t>Machinery &amp; Electrical Goods</t>
  </si>
  <si>
    <t>Computer Hardware</t>
  </si>
  <si>
    <t>Net Book value:</t>
  </si>
  <si>
    <t>As per OLD GAAP</t>
  </si>
  <si>
    <t>Amount (Nu.)</t>
  </si>
  <si>
    <t>Deferred Tax Calculation</t>
  </si>
  <si>
    <t>Note No.</t>
  </si>
  <si>
    <t xml:space="preserve">Others </t>
  </si>
  <si>
    <t>Operating Income</t>
  </si>
  <si>
    <t>Third Party</t>
  </si>
  <si>
    <t>Inter Segment</t>
  </si>
  <si>
    <t>Total Operating income</t>
  </si>
  <si>
    <t>Credit Loss Expense</t>
  </si>
  <si>
    <t>Impairment loss on Financial investments</t>
  </si>
  <si>
    <t>Net Operating Income</t>
  </si>
  <si>
    <t>Extracts of Results</t>
  </si>
  <si>
    <t>Interest and Similer Income</t>
  </si>
  <si>
    <t>Interest and Similer Expenses</t>
  </si>
  <si>
    <t>Net Interest Income/Expenses</t>
  </si>
  <si>
    <t>Fee and Commission Income</t>
  </si>
  <si>
    <t>Fee and Commission Expense</t>
  </si>
  <si>
    <t>Net Fees and Commission Income/Expense</t>
  </si>
  <si>
    <t>Net Trading Income</t>
  </si>
  <si>
    <t>Depreciation on PPE</t>
  </si>
  <si>
    <t>Amortization of Intangible Assets</t>
  </si>
  <si>
    <t>Segement Profit/Loss</t>
  </si>
  <si>
    <t>Income Tax Expenses</t>
  </si>
  <si>
    <t>PPE</t>
  </si>
  <si>
    <t>Intangible Assets</t>
  </si>
  <si>
    <t>Total Assets</t>
  </si>
  <si>
    <t>Total Liabilities</t>
  </si>
  <si>
    <t>Retail Segment</t>
  </si>
  <si>
    <t>Corporate Segment</t>
  </si>
  <si>
    <t>SHARE CAPITAL</t>
  </si>
  <si>
    <t>(a)</t>
  </si>
  <si>
    <t>Authorised Share Capital</t>
  </si>
  <si>
    <t>(b)</t>
  </si>
  <si>
    <t>Issued, Subscribed and Fully Paid Up Share Capital</t>
  </si>
  <si>
    <t>(c)</t>
  </si>
  <si>
    <t>Par Value per Share</t>
  </si>
  <si>
    <t>(d)</t>
  </si>
  <si>
    <t>Number of Equity Shares at the beginning of the year</t>
  </si>
  <si>
    <t>Add: Issue</t>
  </si>
  <si>
    <t>Less: Buy Back</t>
  </si>
  <si>
    <t>Number of Equity Shares at the end of the year</t>
  </si>
  <si>
    <t>(e)</t>
  </si>
  <si>
    <t>Reconciliation of Share Capital</t>
  </si>
  <si>
    <t>100,000,000 Equity Shares of Nu.10 Each (P.Y. 10,000,000 equity shares of Nu 100 each)</t>
  </si>
  <si>
    <t>Foreign Exhange Gain</t>
  </si>
  <si>
    <t>Income tax expense-Current Tax</t>
  </si>
  <si>
    <t>Income tax expense-Deferred Tax</t>
  </si>
  <si>
    <t>The company has only one class of equity shares having a par value of Rs.10 per share (which has been converted during 2014 from Nu. 100 to Nu. 10 as per directions by RMA and RSEB of Bhutan). Each holder of equity  shares is entitled to one vote per share. The holders of Equity Shares are entitled to receive dividends as  declared from time  to time. The dividend proposed by the Board  of Directors is subject to the approval of the  shareholders in the ensuing Annual General Meeting.</t>
  </si>
  <si>
    <t>-Realized Gain &amp; Unrealized</t>
  </si>
  <si>
    <t xml:space="preserve">Statement of Changes in Equity 
</t>
  </si>
  <si>
    <t>Income Statement</t>
  </si>
  <si>
    <t>Statement of Financial Position</t>
  </si>
  <si>
    <t xml:space="preserve">Note 4: </t>
  </si>
  <si>
    <t>Note</t>
  </si>
  <si>
    <t>5. Interest and similar income</t>
  </si>
  <si>
    <t>6. Interest and similar expense</t>
  </si>
  <si>
    <t>7. Net fees and commission income</t>
  </si>
  <si>
    <t>8. Other operating income</t>
  </si>
  <si>
    <t>9. Credit loss expenses</t>
  </si>
  <si>
    <t>10. Personnel expenses</t>
  </si>
  <si>
    <t>11. Other operating expenses</t>
  </si>
  <si>
    <t>12. Tax expenses</t>
  </si>
  <si>
    <t>13. Cash and balances with central banks</t>
  </si>
  <si>
    <t>14. Due from banks</t>
  </si>
  <si>
    <t>15. Loans and advances to customers</t>
  </si>
  <si>
    <t>16. Other assets</t>
  </si>
  <si>
    <t>17. Due to banks</t>
  </si>
  <si>
    <t>18. Due to Customers</t>
  </si>
  <si>
    <t>19. Subordinated term debts</t>
  </si>
  <si>
    <t>20. Other Liabilities</t>
  </si>
  <si>
    <t>21. Provisions</t>
  </si>
  <si>
    <t>22. Deferred tax</t>
  </si>
  <si>
    <t>Timing Difference</t>
  </si>
  <si>
    <t>Deferred Tax (Liability)/Asset</t>
  </si>
  <si>
    <t xml:space="preserve">Purpose of maintaining different reserves:- </t>
  </si>
  <si>
    <t>23. EPS</t>
  </si>
  <si>
    <t>Net Profit attributable to the owners of the company</t>
  </si>
  <si>
    <t>Issued and outstanding ordinary shares at the beginning of the year</t>
  </si>
  <si>
    <t>Shares issued during the year</t>
  </si>
  <si>
    <t>Total Shares outstanding at the end of the year</t>
  </si>
  <si>
    <t>Basic and Diluted EPS</t>
  </si>
  <si>
    <t>Name</t>
  </si>
  <si>
    <t>Nature of Relationship</t>
  </si>
  <si>
    <t>Director/ Associates</t>
  </si>
  <si>
    <t>Dasho Sangay Wangchuk</t>
  </si>
  <si>
    <t>Director</t>
  </si>
  <si>
    <t>Overdraft</t>
  </si>
  <si>
    <t>Relative of the Director</t>
  </si>
  <si>
    <t>Ashi Chimi Yangzom Wangchuk</t>
  </si>
  <si>
    <t>Spouse of Director</t>
  </si>
  <si>
    <t>Dasho Kuenley Wangchuk</t>
  </si>
  <si>
    <t>Director’s Father</t>
  </si>
  <si>
    <t>Aum Sangay Om</t>
  </si>
  <si>
    <t>Director’s Mother</t>
  </si>
  <si>
    <t>Term Loan / Overdraft</t>
  </si>
  <si>
    <t>Kesang Wangchuk</t>
  </si>
  <si>
    <t>Director’s Brother</t>
  </si>
  <si>
    <t>Yangchen Wangchuk</t>
  </si>
  <si>
    <t>Director’s Sister</t>
  </si>
  <si>
    <t>Key Managerial Person</t>
  </si>
  <si>
    <t>Chief Executive Officer</t>
  </si>
  <si>
    <t xml:space="preserve">Remuneration </t>
  </si>
  <si>
    <t>Sitting Fees</t>
  </si>
  <si>
    <t>60,000.00/-</t>
  </si>
  <si>
    <t>Sl. No.</t>
  </si>
  <si>
    <t>Nature of Transactions/Loan Facility</t>
  </si>
  <si>
    <t>Contingent liabilities as at the Balance Sheet date are as follows:</t>
  </si>
  <si>
    <t>a)</t>
  </si>
  <si>
    <t>b)</t>
  </si>
  <si>
    <t>Letter of Credit</t>
  </si>
  <si>
    <t>Other Guarantees</t>
  </si>
  <si>
    <t>Nu.</t>
  </si>
  <si>
    <t>Management expenses include:</t>
  </si>
  <si>
    <t>Managerial remuneration paid or payable to the Chief Executive Officer:</t>
  </si>
  <si>
    <t>Remuneration</t>
  </si>
  <si>
    <t>Directors sitting fees</t>
  </si>
  <si>
    <t xml:space="preserve">Audit fees and expenses: </t>
  </si>
  <si>
    <t>Audit Related:</t>
  </si>
  <si>
    <t xml:space="preserve">Particulars                                                            </t>
  </si>
  <si>
    <t xml:space="preserve">Opening Deferred Tax Liability/ (Assets)           </t>
  </si>
  <si>
    <t xml:space="preserve">Provided during the year                                    </t>
  </si>
  <si>
    <t xml:space="preserve">Closing Deferred Tax Liability / (Assets)              </t>
  </si>
  <si>
    <t>(B)</t>
  </si>
  <si>
    <t>TOTAL (A+B)</t>
  </si>
  <si>
    <t>12A</t>
  </si>
  <si>
    <t>12B</t>
  </si>
  <si>
    <t>DRUK PNB BANK LTD.</t>
  </si>
  <si>
    <t>Notes:</t>
  </si>
  <si>
    <t>3.  Capital Management-</t>
  </si>
  <si>
    <t>Mazhar Bhati</t>
  </si>
  <si>
    <t>(Chairman)</t>
  </si>
  <si>
    <t>(Director)</t>
  </si>
  <si>
    <t>(CEO)</t>
  </si>
  <si>
    <t>At 31 December 2015</t>
  </si>
  <si>
    <t>As at 31.12.2015</t>
  </si>
  <si>
    <t>31.12.2015</t>
  </si>
  <si>
    <t>As at 31-December-2015</t>
  </si>
  <si>
    <t xml:space="preserve"> 25,34,48,819.95</t>
  </si>
  <si>
    <t>35,87,90,490.89</t>
  </si>
  <si>
    <t>99,14,55,691.13</t>
  </si>
  <si>
    <t xml:space="preserve"> 34,41,427.18</t>
  </si>
  <si>
    <t>40% of 144000 unsecured Bonds of Nu. 1000 each</t>
  </si>
  <si>
    <t xml:space="preserve"> 45000000 Equity Shares of Rs.10 each fully paid up (P.Y. 44971230 equity shares of Nu 10 each)</t>
  </si>
  <si>
    <t>December 31, '2015</t>
  </si>
  <si>
    <t xml:space="preserve">To be reversed from Suspense </t>
  </si>
  <si>
    <t xml:space="preserve">to be extracted from other items </t>
  </si>
  <si>
    <t>Debited to suspense account</t>
  </si>
  <si>
    <t>December 31, 2015</t>
  </si>
  <si>
    <t>Dividends paid for 2013</t>
  </si>
  <si>
    <t>Diff</t>
  </si>
  <si>
    <t xml:space="preserve">Dividend </t>
  </si>
  <si>
    <t>Deferred Tax</t>
  </si>
  <si>
    <t xml:space="preserve">Balance with other offices </t>
  </si>
  <si>
    <t>Paid in 2015</t>
  </si>
  <si>
    <t>2015 (Amt. in Nu.)</t>
  </si>
  <si>
    <t>Outstanding as on 31.12.2015</t>
  </si>
  <si>
    <t>Explaination for Other Income</t>
  </si>
  <si>
    <t>Diff. Of Depreciation of last years due change in accounting system to BAS</t>
  </si>
  <si>
    <t>over charge in BAS</t>
  </si>
  <si>
    <t>Less charge in BAS (-)</t>
  </si>
  <si>
    <t>net diff of deferred Tax (232041-138673.47+123=93490.53)</t>
  </si>
  <si>
    <t xml:space="preserve">a) Share Premium lying in reserves: To maintain CAR and to maintain single borrower limit within norms. 
b) General reserves: Mandatory as per FSA (2011) chapter 6 Section 82(b)(i) which says as under: Every financial institution shall (a) Maintain a reserve fund; and (b) Before declaring any dividend from its net profits of each year (after due provision made for taxation), transfer to its reserve fund out of the net profits of each year— i. a sum equal to not less than 50 percent of the net profits of that year, so long as the amount of the reserve fund is less than 50 percent of its paid-up capital; or ii. a sum equal to not less than 25 percent of the net profits of that year, so long as the amount of the reserve fund is 50 percent but less than 100 percent of its paid-up capital.
c) Foreign Exchange Fluctuation Reserves: To handle exchange fluctuations.
</t>
  </si>
  <si>
    <t>4.a. In the opinion of the management, there is no impairment of fixed assets of the company, which may require any adjustment.</t>
  </si>
  <si>
    <t xml:space="preserve">10.1. Provision for bonus payable to employees has neither been ascertained nor been provided for in these accounts.
10.2. Gratuity of Nu. 1,881,265.00 have been provided in these accounts on the assumption that all the employees cease to be employed with effect from 01/01/2016. The accumulated provision (as on 31/12/2015) Nu. 5,671,840.00 have been deposited into a separate account with other financial institution as per the provisions of the Income Tax Act of the kingdom of Bhutan 2001.
10.3. The gratuity liability in respect of employees on deputation from the parent bank (PNB) has not been provided in view of the fact that the same shall be borne by the parent Bank.     </t>
  </si>
  <si>
    <t xml:space="preserve">A sum of Nu. 4,045,284.89 relating to other taxes (like PIT of IBOs, BST on purchases etc) borne by the Bank during the current year has been accounted for from after tax profits. 
</t>
  </si>
  <si>
    <t xml:space="preserve">          (Director)</t>
  </si>
  <si>
    <t>Add Back Depreciation as per BAS</t>
  </si>
  <si>
    <t>Less : Depreciation as per IT Act</t>
  </si>
  <si>
    <t>Profit before tax from continuing operations as per IT</t>
  </si>
  <si>
    <t>Income Tax for the Year</t>
  </si>
  <si>
    <t>Interest income on loans of Nu. 477001093.73 is net of suspended interest of Nu. 25911428.09 (after net passing MOC of Nu. 232495.66 suggested by the auditors)  which conforms to the Prudential Regulation, 2002, issued by  Royal Monetary Authority of Bhutan.</t>
  </si>
  <si>
    <t>Income Tax Reconciliation as per BAS &amp; IT depreciation2015</t>
  </si>
  <si>
    <t>For &amp; On Behalf of Board of Directors</t>
  </si>
  <si>
    <t>Chartered Accountants (FRN No. 322097E)</t>
  </si>
  <si>
    <t>Partner (Mem No. 300367)</t>
  </si>
  <si>
    <t>(Chairman)      (Director)</t>
  </si>
  <si>
    <t>(Chairman)       (Director)</t>
  </si>
  <si>
    <t xml:space="preserve">   (Director)</t>
  </si>
  <si>
    <t xml:space="preserve">(CEO)                 (Chairman) </t>
  </si>
  <si>
    <t>(CEO)       (Chairman)           (Director)</t>
  </si>
  <si>
    <t xml:space="preserve">The net position of deferred tax liability/asset during the year 2015 is as follow:- </t>
  </si>
  <si>
    <r>
      <t>As per MOU with RMA, the Bank has paid Nu. 12,000,000.00/- as their share for setting up Banking Training Institute which has been considered as a equity investment by the management. Further, the Bank has also contributed to the Credit Information Bureau of Bhutan as Equity Investment amounting Nu. 13,75,000/-. 
Letter certifying the allotment issued by the respective institutions is held on record.</t>
    </r>
    <r>
      <rPr>
        <sz val="10"/>
        <color rgb="FFFF0000"/>
        <rFont val="Arial"/>
        <family val="2"/>
      </rPr>
      <t/>
    </r>
  </si>
  <si>
    <t xml:space="preserve">Capital Management: The primary objectives of the Bank’s capital management policy are to ensure that the Bank complies with externally imposed capital requirements and maintains strong credit ratings and healthy capital ratios in order to support its business and to maximize shareholder value. 
The Bank maintains an actively managed capital base to cover risks inherent in the business and meet the capital adequacy requirements of the local regulator (Royal Monetary Authority of Bhutan). During the past year, the Bank had complied in full with all its externally imposed capital requirements. 
Regulatory capital consists of Tier 1 capital, which comprises Paid up capital, share premium, general reserve (statutory reserve) and retained earnings less loss for the current year. The other component of regulatory capital is Tier 2 capital, which includes other reserves; General Provisions to the extent that they do not exceed 1.25% of the sum of total risk weighted assets, subordinated term debts with a minimum original maturity of at least 5 years and profit for the current year.  </t>
  </si>
  <si>
    <t xml:space="preserve"> Annexure to Note 12(A)</t>
  </si>
  <si>
    <t xml:space="preserve"> For &amp; On Behalf of Board of Directors</t>
  </si>
  <si>
    <t>24. Other Notes</t>
  </si>
  <si>
    <t>A. Particulars of the transactions with the Directors and their relatives as per provisions of the Companies Act of the kingdom of Bhutan 2000:</t>
  </si>
  <si>
    <t>B. Contingent Liability</t>
  </si>
  <si>
    <t>C. Management Expenses:</t>
  </si>
  <si>
    <t>D.Deferred Tax:</t>
  </si>
  <si>
    <t>F. Prior Period:</t>
  </si>
  <si>
    <r>
      <rPr>
        <b/>
        <sz val="10"/>
        <color theme="1"/>
        <rFont val="Arial"/>
        <family val="2"/>
      </rPr>
      <t>E.</t>
    </r>
    <r>
      <rPr>
        <sz val="10"/>
        <color theme="1"/>
        <rFont val="Arial"/>
        <family val="2"/>
      </rPr>
      <t xml:space="preserve">The Company has made a provision for proposed dividend of Nu. 35,976,984/- for the year  2014. The same has been booked from profit of the current year (2015) as per BAS. </t>
    </r>
  </si>
  <si>
    <r>
      <rPr>
        <b/>
        <sz val="10"/>
        <color theme="1"/>
        <rFont val="Arial"/>
        <family val="2"/>
      </rPr>
      <t xml:space="preserve">G </t>
    </r>
    <r>
      <rPr>
        <sz val="10"/>
        <color theme="1"/>
        <rFont val="Arial"/>
        <family val="2"/>
      </rPr>
      <t>Bank has received Nu. 150 million from the Ministry of Finance, RGoB on 9th April, 2014 in the form of subordinated debt  (1,50,000 scripts of subordinated bonds at face value of Nu. 1,000/- each) having maturity of 10 years and coupon rate of 6%, payable annually.</t>
    </r>
  </si>
  <si>
    <t>1. The Royal Securities Exchange of Bhutan has converted the face value of shares of all listed companies from Nu. 100/- to Nu. 10/- with effect from 1st August, 2014. Consequently, the face value of share of Druk PNB Bank Ltd. has also changed from Nu. 100/- to Nu. 10/-.</t>
  </si>
  <si>
    <t xml:space="preserve">
</t>
  </si>
  <si>
    <t xml:space="preserve">2. The following Extraordinary Issue of shares was made with special permission from the Royal Monetary Authority of Bhutan and Royal Securities Exchange of Bhutan Ltd –
28770 No. of Shares to the Employees at par (Nu. 10 each).  </t>
  </si>
  <si>
    <t>At 1 January 2015</t>
  </si>
  <si>
    <t>Dividends paid of 2015</t>
  </si>
  <si>
    <t>At 1 January 2016</t>
  </si>
  <si>
    <t>Govt. T Bills/other investments</t>
  </si>
  <si>
    <t>Outstanding as on 30.06.2016</t>
  </si>
  <si>
    <t>Paid in 2016 (upto 30.06.2016)</t>
  </si>
  <si>
    <t>2016 (Amt. in Nu.)</t>
  </si>
  <si>
    <t>30.06.2016</t>
  </si>
  <si>
    <t>15A</t>
  </si>
  <si>
    <t>15 A. Loans and advances to customers</t>
  </si>
  <si>
    <t>As at 30.09.2016</t>
  </si>
  <si>
    <t>At 30 Sept 2016</t>
  </si>
  <si>
    <t>As at 30-September-2016</t>
  </si>
  <si>
    <t>'September 30, 2016</t>
  </si>
  <si>
    <t>At 30 September 2016</t>
  </si>
  <si>
    <t>At 31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</si>
</sst>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 #,##0.00_ ;_ * \-#,##0.00_ ;_ * &quot;-&quot;??_ ;_ @_ "/>
    <numFmt numFmtId="165" formatCode="_-* #,##0.00_-;\-* #,##0.00_-;_-* &quot;-&quot;??_-;_-@_-"/>
    <numFmt numFmtId="166" formatCode="#,##0.00_ ;[Red]\-#,##0.00\ "/>
    <numFmt numFmtId="167" formatCode="#,##0.00;[Red]#,##0.00"/>
    <numFmt numFmtId="168" formatCode="0.000"/>
    <numFmt numFmtId="169" formatCode="_(* #,##0.000_);_(* \(#,##0.000\);_(* &quot;-&quot;??_);_(@_)"/>
  </numFmts>
  <fonts count="46">
    <font>
      <sz val="11"/>
      <color theme="1"/>
      <name val="Calibri"/>
      <family val="2"/>
      <scheme val="minor"/>
    </font>
    <font>
      <sz val="11"/>
      <color theme="1"/>
      <name val="Calibri"/>
      <family val="2"/>
      <scheme val="minor"/>
    </font>
    <font>
      <b/>
      <sz val="16"/>
      <color theme="1"/>
      <name val="Calibri"/>
      <family val="2"/>
      <scheme val="minor"/>
    </font>
    <font>
      <sz val="11"/>
      <color indexed="8"/>
      <name val="Calibri"/>
      <family val="2"/>
    </font>
    <font>
      <sz val="16"/>
      <color theme="1"/>
      <name val="Calibri"/>
      <family val="2"/>
      <scheme val="minor"/>
    </font>
    <font>
      <b/>
      <sz val="16"/>
      <name val="Calibri"/>
      <family val="2"/>
      <scheme val="minor"/>
    </font>
    <font>
      <b/>
      <u/>
      <sz val="16"/>
      <color theme="1"/>
      <name val="Calibri"/>
      <family val="2"/>
      <scheme val="minor"/>
    </font>
    <font>
      <b/>
      <u val="singleAccounting"/>
      <sz val="16"/>
      <color theme="1"/>
      <name val="Calibri"/>
      <family val="2"/>
      <scheme val="minor"/>
    </font>
    <font>
      <sz val="16"/>
      <name val="Calibri"/>
      <family val="2"/>
      <scheme val="minor"/>
    </font>
    <font>
      <sz val="16"/>
      <color rgb="FFFF0000"/>
      <name val="Calibri"/>
      <family val="2"/>
      <scheme val="minor"/>
    </font>
    <font>
      <u val="singleAccounting"/>
      <sz val="16"/>
      <color theme="1"/>
      <name val="Calibri"/>
      <family val="2"/>
      <scheme val="minor"/>
    </font>
    <font>
      <b/>
      <u/>
      <sz val="16"/>
      <name val="Calibri"/>
      <family val="2"/>
      <scheme val="minor"/>
    </font>
    <font>
      <b/>
      <sz val="16"/>
      <color rgb="FFFF0000"/>
      <name val="Calibri"/>
      <family val="2"/>
      <scheme val="minor"/>
    </font>
    <font>
      <sz val="10"/>
      <color theme="1"/>
      <name val="Calibri"/>
      <family val="2"/>
      <scheme val="minor"/>
    </font>
    <font>
      <b/>
      <sz val="10"/>
      <color theme="1"/>
      <name val="Calibri"/>
      <family val="2"/>
      <scheme val="minor"/>
    </font>
    <font>
      <u/>
      <sz val="11"/>
      <color theme="10"/>
      <name val="Calibri"/>
      <family val="2"/>
    </font>
    <font>
      <sz val="10"/>
      <color theme="1"/>
      <name val="EYInterstate Light"/>
    </font>
    <font>
      <b/>
      <sz val="10"/>
      <color theme="1"/>
      <name val="EYInterstate Light"/>
    </font>
    <font>
      <b/>
      <u/>
      <sz val="10"/>
      <color theme="1"/>
      <name val="EYInterstate Light"/>
    </font>
    <font>
      <sz val="10"/>
      <color theme="1" tint="0.34998626667073579"/>
      <name val="EYInterstate Light"/>
    </font>
    <font>
      <b/>
      <sz val="10"/>
      <name val="EYInterstate Light"/>
    </font>
    <font>
      <b/>
      <sz val="12"/>
      <color theme="0"/>
      <name val="EYInterstate Light"/>
    </font>
    <font>
      <b/>
      <sz val="10"/>
      <color indexed="8"/>
      <name val="EYInterstate Light"/>
    </font>
    <font>
      <b/>
      <u/>
      <sz val="10"/>
      <color indexed="8"/>
      <name val="EYInterstate Light"/>
    </font>
    <font>
      <sz val="10"/>
      <name val="EYInterstate Light"/>
    </font>
    <font>
      <b/>
      <sz val="10"/>
      <color theme="0"/>
      <name val="EYInterstate Light"/>
    </font>
    <font>
      <sz val="10"/>
      <name val="Arial"/>
      <family val="2"/>
    </font>
    <font>
      <u/>
      <sz val="10"/>
      <color theme="1"/>
      <name val="EYInterstate Light"/>
    </font>
    <font>
      <b/>
      <sz val="12"/>
      <name val="EYInterstate Light"/>
    </font>
    <font>
      <b/>
      <u/>
      <sz val="12"/>
      <name val="EYInterstate Light"/>
    </font>
    <font>
      <b/>
      <sz val="10"/>
      <color theme="1"/>
      <name val="Arial"/>
      <family val="2"/>
    </font>
    <font>
      <b/>
      <u/>
      <sz val="10"/>
      <color theme="1"/>
      <name val="Arial"/>
      <family val="2"/>
    </font>
    <font>
      <sz val="10"/>
      <color theme="1"/>
      <name val="Arial"/>
      <family val="2"/>
    </font>
    <font>
      <b/>
      <u/>
      <sz val="10"/>
      <name val="Arial"/>
      <family val="2"/>
    </font>
    <font>
      <b/>
      <sz val="10"/>
      <name val="Arial"/>
      <family val="2"/>
    </font>
    <font>
      <sz val="10"/>
      <color rgb="FFFFFFFF"/>
      <name val="Arial"/>
      <family val="2"/>
    </font>
    <font>
      <sz val="10"/>
      <color rgb="FFFF0000"/>
      <name val="EYInterstate Light"/>
    </font>
    <font>
      <sz val="10"/>
      <color rgb="FFFF0000"/>
      <name val="Arial"/>
      <family val="2"/>
    </font>
    <font>
      <b/>
      <u/>
      <sz val="10"/>
      <color rgb="FFFF0000"/>
      <name val="Arial"/>
      <family val="2"/>
    </font>
    <font>
      <b/>
      <sz val="10"/>
      <color rgb="FFFF0000"/>
      <name val="Arial"/>
      <family val="2"/>
    </font>
    <font>
      <sz val="11"/>
      <name val="Arial"/>
      <family val="2"/>
    </font>
    <font>
      <sz val="12"/>
      <name val="Calibri"/>
      <family val="2"/>
      <scheme val="minor"/>
    </font>
    <font>
      <sz val="11"/>
      <name val="Calibri"/>
      <family val="2"/>
      <scheme val="minor"/>
    </font>
    <font>
      <b/>
      <u/>
      <sz val="12"/>
      <color theme="1"/>
      <name val="EYInterstate Light"/>
    </font>
    <font>
      <b/>
      <sz val="11"/>
      <color theme="1"/>
      <name val="Calibri"/>
      <family val="2"/>
      <scheme val="minor"/>
    </font>
    <font>
      <b/>
      <sz val="12"/>
      <color theme="1"/>
      <name val="EYInterstate Light"/>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9.9978637043366805E-2"/>
        <bgColor indexed="64"/>
      </patternFill>
    </fill>
  </fills>
  <borders count="77">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3">
    <xf numFmtId="0" fontId="0" fillId="0" borderId="0"/>
    <xf numFmtId="165"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15" fillId="0" borderId="0" applyNumberFormat="0" applyFill="0" applyBorder="0" applyAlignment="0" applyProtection="0">
      <alignment vertical="top"/>
      <protection locked="0"/>
    </xf>
    <xf numFmtId="43" fontId="26" fillId="0" borderId="0" applyFont="0" applyFill="0" applyBorder="0" applyAlignment="0" applyProtection="0"/>
    <xf numFmtId="0" fontId="26" fillId="0" borderId="0"/>
    <xf numFmtId="0" fontId="1" fillId="0" borderId="0"/>
    <xf numFmtId="0" fontId="1" fillId="0" borderId="0"/>
    <xf numFmtId="0" fontId="26" fillId="0" borderId="0"/>
    <xf numFmtId="0" fontId="1" fillId="0" borderId="0"/>
    <xf numFmtId="9" fontId="1" fillId="0" borderId="0" applyFont="0" applyFill="0" applyBorder="0" applyAlignment="0" applyProtection="0"/>
  </cellStyleXfs>
  <cellXfs count="741">
    <xf numFmtId="0" fontId="0" fillId="0" borderId="0" xfId="0"/>
    <xf numFmtId="165" fontId="2" fillId="0" borderId="0" xfId="1" applyFont="1" applyAlignment="1">
      <alignment horizontal="center"/>
    </xf>
    <xf numFmtId="165" fontId="2" fillId="0" borderId="0" xfId="1" applyFont="1" applyAlignment="1">
      <alignment horizontal="right"/>
    </xf>
    <xf numFmtId="0" fontId="4" fillId="0" borderId="0" xfId="0" applyFont="1"/>
    <xf numFmtId="43" fontId="4" fillId="0" borderId="0" xfId="2" applyFont="1"/>
    <xf numFmtId="165" fontId="2" fillId="0" borderId="0" xfId="1" applyFont="1" applyBorder="1"/>
    <xf numFmtId="0" fontId="2" fillId="0" borderId="0" xfId="1" applyNumberFormat="1" applyFont="1" applyBorder="1" applyAlignment="1">
      <alignment horizontal="center"/>
    </xf>
    <xf numFmtId="165" fontId="2" fillId="0" borderId="0" xfId="0" applyNumberFormat="1" applyFont="1" applyBorder="1" applyAlignment="1">
      <alignment horizontal="right"/>
    </xf>
    <xf numFmtId="165" fontId="4" fillId="0" borderId="0" xfId="0" applyNumberFormat="1" applyFont="1"/>
    <xf numFmtId="165" fontId="2" fillId="0" borderId="0" xfId="1" applyFont="1" applyBorder="1" applyAlignment="1">
      <alignment horizontal="right"/>
    </xf>
    <xf numFmtId="43" fontId="4" fillId="0" borderId="0" xfId="0" applyNumberFormat="1" applyFont="1"/>
    <xf numFmtId="43" fontId="2" fillId="0" borderId="0" xfId="2" applyFont="1" applyAlignment="1">
      <alignment horizontal="right"/>
    </xf>
    <xf numFmtId="165" fontId="2" fillId="0" borderId="1" xfId="1" applyFont="1" applyBorder="1" applyAlignment="1">
      <alignment horizontal="right"/>
    </xf>
    <xf numFmtId="43" fontId="2" fillId="0" borderId="1" xfId="2" applyFont="1" applyBorder="1"/>
    <xf numFmtId="43" fontId="2" fillId="0" borderId="0" xfId="0" applyNumberFormat="1" applyFont="1" applyBorder="1" applyAlignment="1">
      <alignment horizontal="center"/>
    </xf>
    <xf numFmtId="0" fontId="4" fillId="0" borderId="0" xfId="0" applyFont="1" applyAlignment="1">
      <alignment horizontal="right"/>
    </xf>
    <xf numFmtId="165" fontId="2" fillId="0" borderId="0" xfId="1" applyFont="1" applyBorder="1" applyAlignment="1">
      <alignment horizontal="center"/>
    </xf>
    <xf numFmtId="0" fontId="2" fillId="0" borderId="0" xfId="0" applyFont="1" applyBorder="1"/>
    <xf numFmtId="0" fontId="2" fillId="0" borderId="0" xfId="0" applyNumberFormat="1" applyFont="1" applyBorder="1" applyAlignment="1">
      <alignment horizontal="center"/>
    </xf>
    <xf numFmtId="0" fontId="2" fillId="0" borderId="0" xfId="0" applyFont="1" applyFill="1" applyBorder="1" applyAlignment="1">
      <alignment horizontal="left"/>
    </xf>
    <xf numFmtId="0" fontId="2" fillId="0" borderId="0" xfId="0" applyNumberFormat="1" applyFont="1" applyFill="1" applyBorder="1" applyAlignment="1">
      <alignment horizontal="center"/>
    </xf>
    <xf numFmtId="43" fontId="2" fillId="0" borderId="0" xfId="2" applyFont="1"/>
    <xf numFmtId="43" fontId="2" fillId="0" borderId="0" xfId="1" applyNumberFormat="1" applyFont="1" applyAlignment="1">
      <alignment horizontal="right"/>
    </xf>
    <xf numFmtId="0" fontId="5" fillId="0" borderId="0" xfId="0" applyFont="1" applyBorder="1"/>
    <xf numFmtId="0" fontId="2" fillId="0" borderId="0" xfId="0" applyFont="1" applyBorder="1" applyAlignment="1">
      <alignment horizontal="center"/>
    </xf>
    <xf numFmtId="0" fontId="2" fillId="0" borderId="0" xfId="0" applyFont="1" applyBorder="1" applyAlignment="1">
      <alignment horizontal="right"/>
    </xf>
    <xf numFmtId="43" fontId="2" fillId="0" borderId="0" xfId="0" applyNumberFormat="1" applyFont="1" applyBorder="1" applyAlignment="1">
      <alignment horizontal="right"/>
    </xf>
    <xf numFmtId="0" fontId="2" fillId="0" borderId="0" xfId="0" applyFont="1" applyBorder="1" applyAlignment="1">
      <alignment horizontal="left"/>
    </xf>
    <xf numFmtId="0" fontId="4" fillId="0" borderId="0" xfId="0" applyFont="1" applyAlignment="1">
      <alignment horizontal="left"/>
    </xf>
    <xf numFmtId="0" fontId="2" fillId="0" borderId="0" xfId="0" applyFont="1" applyAlignment="1">
      <alignment horizontal="center"/>
    </xf>
    <xf numFmtId="0" fontId="4" fillId="0" borderId="0" xfId="0" applyFont="1" applyBorder="1" applyAlignment="1">
      <alignment horizontal="right"/>
    </xf>
    <xf numFmtId="0" fontId="2" fillId="0" borderId="0" xfId="0" applyFont="1"/>
    <xf numFmtId="0" fontId="2" fillId="0" borderId="0" xfId="0" applyFont="1" applyAlignment="1">
      <alignment horizontal="left"/>
    </xf>
    <xf numFmtId="0" fontId="6" fillId="0" borderId="0" xfId="0" applyFont="1" applyBorder="1"/>
    <xf numFmtId="165" fontId="2" fillId="0" borderId="0" xfId="0" applyNumberFormat="1" applyFont="1" applyBorder="1"/>
    <xf numFmtId="0" fontId="4" fillId="0" borderId="0" xfId="0" applyFont="1" applyBorder="1"/>
    <xf numFmtId="165" fontId="2" fillId="0" borderId="0" xfId="0" applyNumberFormat="1" applyFont="1" applyFill="1" applyBorder="1"/>
    <xf numFmtId="169" fontId="4" fillId="0" borderId="0" xfId="0" applyNumberFormat="1" applyFont="1" applyBorder="1"/>
    <xf numFmtId="165" fontId="7" fillId="0" borderId="0" xfId="0" applyNumberFormat="1" applyFont="1" applyFill="1" applyBorder="1"/>
    <xf numFmtId="165" fontId="4" fillId="0" borderId="0" xfId="0" applyNumberFormat="1" applyFont="1" applyFill="1" applyBorder="1"/>
    <xf numFmtId="0" fontId="8" fillId="0" borderId="0" xfId="0" applyFont="1" applyBorder="1"/>
    <xf numFmtId="165" fontId="2" fillId="0" borderId="4" xfId="0" applyNumberFormat="1" applyFont="1" applyFill="1" applyBorder="1"/>
    <xf numFmtId="0" fontId="4" fillId="0" borderId="0" xfId="0" applyFont="1" applyFill="1" applyBorder="1"/>
    <xf numFmtId="165" fontId="2" fillId="0" borderId="0" xfId="0" applyNumberFormat="1" applyFont="1"/>
    <xf numFmtId="0" fontId="2" fillId="0" borderId="0" xfId="0" applyFont="1" applyFill="1" applyBorder="1"/>
    <xf numFmtId="0" fontId="6" fillId="0" borderId="0" xfId="0" applyFont="1" applyFill="1" applyBorder="1"/>
    <xf numFmtId="43" fontId="2" fillId="0" borderId="0" xfId="2" applyFont="1" applyFill="1" applyBorder="1" applyAlignment="1">
      <alignment horizontal="center"/>
    </xf>
    <xf numFmtId="43" fontId="8" fillId="0" borderId="0" xfId="0" applyNumberFormat="1" applyFont="1"/>
    <xf numFmtId="168" fontId="4" fillId="0" borderId="0" xfId="0" applyNumberFormat="1" applyFont="1"/>
    <xf numFmtId="43" fontId="4" fillId="0" borderId="0" xfId="2" applyFont="1" applyFill="1" applyBorder="1"/>
    <xf numFmtId="43" fontId="2" fillId="0" borderId="0" xfId="0" applyNumberFormat="1" applyFont="1"/>
    <xf numFmtId="43" fontId="2" fillId="0" borderId="0" xfId="0" applyNumberFormat="1" applyFont="1" applyBorder="1"/>
    <xf numFmtId="43" fontId="4" fillId="0" borderId="4" xfId="2" applyFont="1" applyBorder="1"/>
    <xf numFmtId="43" fontId="2" fillId="0" borderId="0" xfId="2" applyFont="1" applyBorder="1" applyAlignment="1">
      <alignment horizontal="center"/>
    </xf>
    <xf numFmtId="0" fontId="4" fillId="0" borderId="0" xfId="0" applyFont="1" applyFill="1" applyBorder="1" applyAlignment="1">
      <alignment wrapText="1"/>
    </xf>
    <xf numFmtId="43" fontId="4" fillId="0" borderId="0" xfId="2" applyFont="1" applyBorder="1"/>
    <xf numFmtId="43" fontId="2" fillId="0" borderId="0" xfId="2" applyFont="1" applyBorder="1"/>
    <xf numFmtId="43" fontId="9" fillId="0" borderId="0" xfId="2" applyFont="1"/>
    <xf numFmtId="165" fontId="4" fillId="0" borderId="0" xfId="0" applyNumberFormat="1" applyFont="1" applyFill="1"/>
    <xf numFmtId="2" fontId="2" fillId="0" borderId="0" xfId="0" applyNumberFormat="1" applyFont="1" applyBorder="1"/>
    <xf numFmtId="165" fontId="4" fillId="0" borderId="0" xfId="1" applyFont="1" applyFill="1" applyBorder="1"/>
    <xf numFmtId="165" fontId="2" fillId="0" borderId="0" xfId="1" applyFont="1" applyFill="1" applyBorder="1"/>
    <xf numFmtId="165" fontId="2" fillId="0" borderId="1" xfId="0" applyNumberFormat="1" applyFont="1" applyBorder="1"/>
    <xf numFmtId="165" fontId="2" fillId="0" borderId="0" xfId="0" applyNumberFormat="1" applyFont="1" applyBorder="1" applyAlignment="1">
      <alignment horizontal="center"/>
    </xf>
    <xf numFmtId="0" fontId="4" fillId="0" borderId="13" xfId="0" applyFont="1" applyBorder="1"/>
    <xf numFmtId="0" fontId="4" fillId="0" borderId="13" xfId="0" applyFont="1" applyBorder="1" applyAlignment="1">
      <alignment horizontal="center"/>
    </xf>
    <xf numFmtId="43" fontId="4" fillId="0" borderId="13" xfId="2" applyFont="1" applyBorder="1" applyAlignment="1">
      <alignment horizontal="center"/>
    </xf>
    <xf numFmtId="165" fontId="4" fillId="2" borderId="0" xfId="1" applyFont="1" applyFill="1" applyBorder="1"/>
    <xf numFmtId="165" fontId="4" fillId="0" borderId="13" xfId="0" applyNumberFormat="1" applyFont="1" applyBorder="1"/>
    <xf numFmtId="43" fontId="4" fillId="0" borderId="13" xfId="2" applyFont="1" applyBorder="1"/>
    <xf numFmtId="43" fontId="4" fillId="0" borderId="13" xfId="0" applyNumberFormat="1" applyFont="1" applyBorder="1"/>
    <xf numFmtId="0" fontId="4" fillId="2" borderId="0" xfId="0" applyFont="1" applyFill="1" applyBorder="1"/>
    <xf numFmtId="43" fontId="4" fillId="0" borderId="18" xfId="2" applyFont="1" applyBorder="1"/>
    <xf numFmtId="43" fontId="4" fillId="0" borderId="2" xfId="2" applyFont="1" applyBorder="1"/>
    <xf numFmtId="0" fontId="4" fillId="0" borderId="23" xfId="0" applyFont="1" applyBorder="1"/>
    <xf numFmtId="0" fontId="4" fillId="0" borderId="2" xfId="0" applyFont="1" applyBorder="1"/>
    <xf numFmtId="43" fontId="4" fillId="0" borderId="23" xfId="2" applyFont="1" applyBorder="1"/>
    <xf numFmtId="165" fontId="2" fillId="0" borderId="1" xfId="1" applyFont="1" applyFill="1" applyBorder="1"/>
    <xf numFmtId="166" fontId="4" fillId="0" borderId="0" xfId="0" applyNumberFormat="1" applyFont="1" applyBorder="1" applyProtection="1">
      <protection locked="0"/>
    </xf>
    <xf numFmtId="167" fontId="2" fillId="0" borderId="0" xfId="0" applyNumberFormat="1" applyFont="1" applyBorder="1"/>
    <xf numFmtId="0" fontId="4" fillId="0" borderId="0" xfId="0" applyFont="1" applyFill="1" applyBorder="1" applyAlignment="1">
      <alignment horizontal="left"/>
    </xf>
    <xf numFmtId="43" fontId="2" fillId="0" borderId="1" xfId="0" applyNumberFormat="1" applyFont="1" applyBorder="1"/>
    <xf numFmtId="2" fontId="4" fillId="0" borderId="0" xfId="0" applyNumberFormat="1" applyFont="1"/>
    <xf numFmtId="0" fontId="4" fillId="0" borderId="0" xfId="0" applyFont="1" applyBorder="1" applyAlignment="1">
      <alignment horizontal="center"/>
    </xf>
    <xf numFmtId="0" fontId="4" fillId="0" borderId="0" xfId="0" applyFont="1" applyBorder="1" applyAlignment="1">
      <alignment horizontal="left"/>
    </xf>
    <xf numFmtId="165" fontId="4" fillId="0" borderId="0" xfId="0" applyNumberFormat="1" applyFont="1" applyBorder="1"/>
    <xf numFmtId="165" fontId="4" fillId="0" borderId="0" xfId="1" applyFont="1" applyBorder="1"/>
    <xf numFmtId="165" fontId="2" fillId="0" borderId="1" xfId="1" applyFont="1" applyBorder="1"/>
    <xf numFmtId="165" fontId="10" fillId="0" borderId="0" xfId="1" applyFont="1" applyBorder="1"/>
    <xf numFmtId="0" fontId="11" fillId="0" borderId="0" xfId="0" applyFont="1" applyBorder="1"/>
    <xf numFmtId="14" fontId="4" fillId="2" borderId="0" xfId="0" applyNumberFormat="1" applyFont="1" applyFill="1" applyBorder="1"/>
    <xf numFmtId="43" fontId="4" fillId="2" borderId="0" xfId="2" applyFont="1" applyFill="1"/>
    <xf numFmtId="0" fontId="8" fillId="2" borderId="0" xfId="0" applyFont="1" applyFill="1" applyBorder="1"/>
    <xf numFmtId="0" fontId="4" fillId="2" borderId="0" xfId="0" applyFont="1" applyFill="1" applyBorder="1" applyAlignment="1">
      <alignment horizontal="center"/>
    </xf>
    <xf numFmtId="165" fontId="4" fillId="2" borderId="0" xfId="0" applyNumberFormat="1" applyFont="1" applyFill="1" applyBorder="1"/>
    <xf numFmtId="43" fontId="4" fillId="2" borderId="0" xfId="2" applyFont="1" applyFill="1" applyBorder="1"/>
    <xf numFmtId="165" fontId="2" fillId="2" borderId="0" xfId="1" applyFont="1" applyFill="1" applyBorder="1"/>
    <xf numFmtId="43" fontId="2" fillId="2" borderId="0" xfId="2" applyFont="1" applyFill="1" applyBorder="1"/>
    <xf numFmtId="0" fontId="8" fillId="2" borderId="0" xfId="0" applyFont="1" applyFill="1" applyBorder="1" applyAlignment="1">
      <alignment horizontal="left"/>
    </xf>
    <xf numFmtId="165" fontId="5" fillId="2" borderId="0" xfId="1" applyFont="1" applyFill="1" applyBorder="1" applyAlignment="1">
      <alignment horizontal="left"/>
    </xf>
    <xf numFmtId="43" fontId="2" fillId="2" borderId="0" xfId="2" applyFont="1" applyFill="1"/>
    <xf numFmtId="0" fontId="4" fillId="2" borderId="0" xfId="0" applyFont="1" applyFill="1" applyBorder="1" applyAlignment="1">
      <alignment horizontal="left"/>
    </xf>
    <xf numFmtId="165" fontId="4" fillId="2" borderId="0" xfId="1" applyFont="1" applyFill="1" applyBorder="1" applyAlignment="1">
      <alignment horizontal="right"/>
    </xf>
    <xf numFmtId="165" fontId="2" fillId="2" borderId="0" xfId="0" applyNumberFormat="1" applyFont="1" applyFill="1" applyBorder="1"/>
    <xf numFmtId="43" fontId="2" fillId="2" borderId="0" xfId="0" applyNumberFormat="1" applyFont="1" applyFill="1" applyBorder="1"/>
    <xf numFmtId="165" fontId="5" fillId="2" borderId="0" xfId="1" applyFont="1" applyFill="1" applyBorder="1"/>
    <xf numFmtId="43" fontId="2" fillId="2" borderId="1" xfId="0" applyNumberFormat="1" applyFont="1" applyFill="1" applyBorder="1" applyAlignment="1">
      <alignment horizontal="center"/>
    </xf>
    <xf numFmtId="43" fontId="2" fillId="2" borderId="1" xfId="2" applyFont="1" applyFill="1" applyBorder="1"/>
    <xf numFmtId="43" fontId="2" fillId="2" borderId="0" xfId="0" applyNumberFormat="1" applyFont="1" applyFill="1" applyBorder="1" applyAlignment="1">
      <alignment horizontal="center"/>
    </xf>
    <xf numFmtId="0" fontId="11" fillId="0" borderId="0" xfId="0" applyFont="1" applyBorder="1" applyAlignment="1">
      <alignment horizontal="left"/>
    </xf>
    <xf numFmtId="43" fontId="4" fillId="0" borderId="0" xfId="2" applyFont="1" applyBorder="1" applyAlignment="1">
      <alignment horizontal="center"/>
    </xf>
    <xf numFmtId="43" fontId="4" fillId="0" borderId="0" xfId="0" applyNumberFormat="1" applyFont="1" applyBorder="1"/>
    <xf numFmtId="0" fontId="6" fillId="0" borderId="0" xfId="0" applyFont="1"/>
    <xf numFmtId="165" fontId="2" fillId="0" borderId="0" xfId="1" applyFont="1"/>
    <xf numFmtId="165" fontId="4" fillId="0" borderId="0" xfId="1" applyFont="1"/>
    <xf numFmtId="0" fontId="4" fillId="0" borderId="0" xfId="0" applyFont="1" applyAlignment="1">
      <alignment wrapText="1"/>
    </xf>
    <xf numFmtId="0" fontId="4" fillId="2" borderId="0" xfId="0" applyFont="1" applyFill="1"/>
    <xf numFmtId="165" fontId="4" fillId="2" borderId="0" xfId="1" applyFont="1" applyFill="1"/>
    <xf numFmtId="43" fontId="4" fillId="2" borderId="0" xfId="0" applyNumberFormat="1" applyFont="1" applyFill="1" applyBorder="1"/>
    <xf numFmtId="165" fontId="8" fillId="0" borderId="0" xfId="1" applyFont="1"/>
    <xf numFmtId="0" fontId="4" fillId="0" borderId="3" xfId="0" applyFont="1" applyBorder="1"/>
    <xf numFmtId="43" fontId="2" fillId="0" borderId="1" xfId="2" applyFont="1" applyFill="1" applyBorder="1"/>
    <xf numFmtId="43" fontId="2" fillId="0" borderId="0" xfId="2" applyFont="1" applyFill="1" applyBorder="1"/>
    <xf numFmtId="0" fontId="4" fillId="0" borderId="0" xfId="0" applyFont="1" applyBorder="1" applyAlignment="1"/>
    <xf numFmtId="165" fontId="12" fillId="0" borderId="0" xfId="1" applyFont="1"/>
    <xf numFmtId="0" fontId="9" fillId="2" borderId="0" xfId="0" applyFont="1" applyFill="1"/>
    <xf numFmtId="43" fontId="9" fillId="2" borderId="0" xfId="0" applyNumberFormat="1" applyFont="1" applyFill="1" applyBorder="1"/>
    <xf numFmtId="0" fontId="9" fillId="0" borderId="0" xfId="0" applyFont="1" applyBorder="1"/>
    <xf numFmtId="165" fontId="9" fillId="0" borderId="0" xfId="1" applyFont="1" applyBorder="1"/>
    <xf numFmtId="43" fontId="13" fillId="0" borderId="0" xfId="2" applyFont="1"/>
    <xf numFmtId="43" fontId="14" fillId="0" borderId="0" xfId="2" applyFont="1"/>
    <xf numFmtId="0" fontId="13" fillId="0" borderId="0" xfId="0" applyFont="1"/>
    <xf numFmtId="43" fontId="13" fillId="0" borderId="0" xfId="0" applyNumberFormat="1" applyFont="1"/>
    <xf numFmtId="0" fontId="15" fillId="0" borderId="0" xfId="5" applyAlignment="1" applyProtection="1"/>
    <xf numFmtId="43" fontId="4" fillId="0" borderId="0" xfId="2" applyNumberFormat="1" applyFont="1"/>
    <xf numFmtId="0" fontId="6" fillId="3" borderId="0" xfId="0" applyFont="1" applyFill="1"/>
    <xf numFmtId="165" fontId="4" fillId="3" borderId="0" xfId="1" applyFont="1" applyFill="1"/>
    <xf numFmtId="165" fontId="4" fillId="3" borderId="0" xfId="0" applyNumberFormat="1" applyFont="1" applyFill="1"/>
    <xf numFmtId="43" fontId="4" fillId="3" borderId="0" xfId="0" applyNumberFormat="1" applyFont="1" applyFill="1" applyBorder="1"/>
    <xf numFmtId="0" fontId="4" fillId="3" borderId="0" xfId="0" applyFont="1" applyFill="1"/>
    <xf numFmtId="43" fontId="4" fillId="3" borderId="0" xfId="0" applyNumberFormat="1" applyFont="1" applyFill="1"/>
    <xf numFmtId="165" fontId="4" fillId="3" borderId="0" xfId="1" applyFont="1" applyFill="1" applyAlignment="1">
      <alignment horizontal="left"/>
    </xf>
    <xf numFmtId="165" fontId="8" fillId="3" borderId="0" xfId="1" applyFont="1" applyFill="1"/>
    <xf numFmtId="165" fontId="9" fillId="3" borderId="0" xfId="1" applyFont="1" applyFill="1"/>
    <xf numFmtId="165" fontId="8" fillId="3" borderId="0" xfId="0" applyNumberFormat="1" applyFont="1" applyFill="1" applyBorder="1"/>
    <xf numFmtId="165" fontId="4" fillId="3" borderId="0" xfId="0" applyNumberFormat="1" applyFont="1" applyFill="1" applyBorder="1"/>
    <xf numFmtId="0" fontId="4" fillId="3" borderId="0" xfId="0" applyFont="1" applyFill="1" applyBorder="1"/>
    <xf numFmtId="43" fontId="4" fillId="3" borderId="0" xfId="2" applyFont="1" applyFill="1"/>
    <xf numFmtId="43" fontId="4" fillId="3" borderId="0" xfId="2" applyFont="1" applyFill="1" applyBorder="1"/>
    <xf numFmtId="43" fontId="2" fillId="3" borderId="2" xfId="0" applyNumberFormat="1" applyFont="1" applyFill="1" applyBorder="1"/>
    <xf numFmtId="0" fontId="2" fillId="3" borderId="0" xfId="0" applyFont="1" applyFill="1"/>
    <xf numFmtId="43" fontId="2" fillId="3" borderId="2" xfId="2" applyFont="1" applyFill="1" applyBorder="1"/>
    <xf numFmtId="43" fontId="2" fillId="3" borderId="1" xfId="2" applyFont="1" applyFill="1" applyBorder="1"/>
    <xf numFmtId="165" fontId="4" fillId="3" borderId="0" xfId="1" applyFont="1" applyFill="1" applyBorder="1"/>
    <xf numFmtId="165" fontId="2" fillId="3" borderId="0" xfId="0" applyNumberFormat="1" applyFont="1" applyFill="1"/>
    <xf numFmtId="43" fontId="2" fillId="3" borderId="0" xfId="2" applyFont="1" applyFill="1" applyAlignment="1">
      <alignment horizontal="center"/>
    </xf>
    <xf numFmtId="165" fontId="9" fillId="3" borderId="0" xfId="1" applyFont="1" applyFill="1" applyBorder="1"/>
    <xf numFmtId="0" fontId="2" fillId="3" borderId="0" xfId="0" applyFont="1" applyFill="1" applyBorder="1"/>
    <xf numFmtId="165" fontId="2" fillId="3" borderId="0" xfId="0" applyNumberFormat="1" applyFont="1" applyFill="1" applyBorder="1"/>
    <xf numFmtId="165" fontId="2" fillId="3" borderId="0" xfId="1" applyFont="1" applyFill="1" applyBorder="1"/>
    <xf numFmtId="0" fontId="4" fillId="3" borderId="0" xfId="0" applyFont="1" applyFill="1" applyBorder="1" applyAlignment="1"/>
    <xf numFmtId="43" fontId="2" fillId="3" borderId="0" xfId="0" applyNumberFormat="1" applyFont="1" applyFill="1" applyBorder="1"/>
    <xf numFmtId="43" fontId="2" fillId="3" borderId="0" xfId="2" applyFont="1" applyFill="1"/>
    <xf numFmtId="43" fontId="2" fillId="3" borderId="0" xfId="2" applyFont="1" applyFill="1" applyBorder="1" applyAlignment="1">
      <alignment horizontal="center"/>
    </xf>
    <xf numFmtId="165" fontId="2" fillId="3" borderId="0" xfId="0" applyNumberFormat="1" applyFont="1" applyFill="1" applyBorder="1" applyAlignment="1">
      <alignment horizontal="center"/>
    </xf>
    <xf numFmtId="0" fontId="2" fillId="3" borderId="0" xfId="0" applyFont="1" applyFill="1" applyBorder="1" applyAlignment="1">
      <alignment horizontal="center"/>
    </xf>
    <xf numFmtId="165" fontId="8" fillId="3" borderId="0" xfId="1" applyFont="1" applyFill="1" applyBorder="1"/>
    <xf numFmtId="0" fontId="16" fillId="0" borderId="0" xfId="0" applyFont="1" applyFill="1"/>
    <xf numFmtId="0" fontId="17" fillId="0" borderId="0" xfId="0" applyFont="1" applyFill="1" applyAlignment="1">
      <alignment horizontal="center"/>
    </xf>
    <xf numFmtId="43" fontId="16" fillId="0" borderId="0" xfId="2" applyFont="1" applyFill="1"/>
    <xf numFmtId="43" fontId="16" fillId="0" borderId="0" xfId="0" applyNumberFormat="1" applyFont="1" applyFill="1"/>
    <xf numFmtId="164" fontId="16" fillId="0" borderId="0" xfId="0" applyNumberFormat="1" applyFont="1" applyFill="1"/>
    <xf numFmtId="43" fontId="17" fillId="0" borderId="24" xfId="2" applyFont="1" applyFill="1" applyBorder="1"/>
    <xf numFmtId="0" fontId="18" fillId="0" borderId="0" xfId="0" applyFont="1" applyFill="1"/>
    <xf numFmtId="0" fontId="16" fillId="0" borderId="16" xfId="0" applyFont="1" applyFill="1" applyBorder="1"/>
    <xf numFmtId="0" fontId="16" fillId="0" borderId="0" xfId="0" applyFont="1" applyFill="1" applyBorder="1"/>
    <xf numFmtId="0" fontId="17" fillId="0" borderId="0" xfId="0" applyFont="1" applyFill="1" applyBorder="1" applyAlignment="1">
      <alignment horizontal="center"/>
    </xf>
    <xf numFmtId="43" fontId="16" fillId="0" borderId="0" xfId="2" applyFont="1" applyFill="1" applyBorder="1"/>
    <xf numFmtId="43" fontId="16" fillId="0" borderId="17" xfId="2" applyFont="1" applyFill="1" applyBorder="1"/>
    <xf numFmtId="0" fontId="18" fillId="0" borderId="16" xfId="0" applyFont="1" applyFill="1" applyBorder="1"/>
    <xf numFmtId="0" fontId="17" fillId="0" borderId="16" xfId="0" applyFont="1" applyFill="1" applyBorder="1"/>
    <xf numFmtId="43" fontId="17" fillId="0" borderId="22" xfId="2" applyFont="1" applyFill="1" applyBorder="1"/>
    <xf numFmtId="0" fontId="16" fillId="0" borderId="8" xfId="0" applyFont="1" applyFill="1" applyBorder="1"/>
    <xf numFmtId="0" fontId="16" fillId="0" borderId="4" xfId="0" applyFont="1" applyFill="1" applyBorder="1"/>
    <xf numFmtId="0" fontId="17" fillId="0" borderId="4" xfId="0" applyFont="1" applyFill="1" applyBorder="1" applyAlignment="1">
      <alignment horizontal="center"/>
    </xf>
    <xf numFmtId="43" fontId="16" fillId="0" borderId="9" xfId="2" applyFont="1" applyFill="1" applyBorder="1"/>
    <xf numFmtId="0" fontId="16" fillId="0" borderId="0" xfId="0" applyFont="1"/>
    <xf numFmtId="0" fontId="16" fillId="0" borderId="0" xfId="0" applyFont="1" applyAlignment="1">
      <alignment horizontal="center"/>
    </xf>
    <xf numFmtId="0" fontId="17" fillId="0" borderId="0" xfId="0" applyFont="1"/>
    <xf numFmtId="0" fontId="17" fillId="0" borderId="0" xfId="0" applyFont="1" applyAlignment="1">
      <alignment horizontal="center"/>
    </xf>
    <xf numFmtId="164" fontId="16" fillId="0" borderId="0" xfId="0" applyNumberFormat="1" applyFont="1"/>
    <xf numFmtId="43" fontId="16" fillId="0" borderId="0" xfId="2" applyFont="1" applyBorder="1" applyAlignment="1">
      <alignment horizontal="center"/>
    </xf>
    <xf numFmtId="0" fontId="17" fillId="0" borderId="4" xfId="0" applyFont="1" applyBorder="1" applyAlignment="1">
      <alignment horizontal="center"/>
    </xf>
    <xf numFmtId="0" fontId="16" fillId="0" borderId="0" xfId="0" applyFont="1" applyBorder="1" applyAlignment="1">
      <alignment horizontal="center"/>
    </xf>
    <xf numFmtId="0" fontId="16" fillId="0" borderId="17" xfId="0" applyFont="1" applyBorder="1" applyAlignment="1">
      <alignment horizontal="center"/>
    </xf>
    <xf numFmtId="0" fontId="16" fillId="0" borderId="16" xfId="0" applyFont="1" applyBorder="1"/>
    <xf numFmtId="164" fontId="16" fillId="0" borderId="0" xfId="0" applyNumberFormat="1" applyFont="1" applyBorder="1" applyAlignment="1">
      <alignment horizontal="center"/>
    </xf>
    <xf numFmtId="164" fontId="16" fillId="0" borderId="17" xfId="0" applyNumberFormat="1" applyFont="1" applyBorder="1" applyAlignment="1">
      <alignment horizontal="center"/>
    </xf>
    <xf numFmtId="0" fontId="17" fillId="0" borderId="16" xfId="0" applyFont="1" applyBorder="1"/>
    <xf numFmtId="0" fontId="16" fillId="0" borderId="8" xfId="0" applyFont="1" applyBorder="1"/>
    <xf numFmtId="0" fontId="18" fillId="0" borderId="16" xfId="0" applyFont="1" applyBorder="1"/>
    <xf numFmtId="0" fontId="18" fillId="0" borderId="27" xfId="0" applyFont="1" applyBorder="1"/>
    <xf numFmtId="0" fontId="18" fillId="0" borderId="32" xfId="0" applyFont="1" applyBorder="1"/>
    <xf numFmtId="164" fontId="17" fillId="0" borderId="33" xfId="0" applyNumberFormat="1" applyFont="1" applyBorder="1" applyAlignment="1">
      <alignment horizontal="center"/>
    </xf>
    <xf numFmtId="164" fontId="17" fillId="0" borderId="34" xfId="0" applyNumberFormat="1" applyFont="1" applyBorder="1" applyAlignment="1">
      <alignment horizontal="center"/>
    </xf>
    <xf numFmtId="164" fontId="17" fillId="0" borderId="31" xfId="0" applyNumberFormat="1" applyFont="1" applyBorder="1" applyAlignment="1">
      <alignment horizontal="center"/>
    </xf>
    <xf numFmtId="43" fontId="17" fillId="0" borderId="0" xfId="2" applyFont="1" applyBorder="1" applyAlignment="1">
      <alignment horizontal="center"/>
    </xf>
    <xf numFmtId="164" fontId="17" fillId="0" borderId="0" xfId="0" applyNumberFormat="1" applyFont="1" applyBorder="1" applyAlignment="1">
      <alignment horizontal="center"/>
    </xf>
    <xf numFmtId="164" fontId="17" fillId="0" borderId="17" xfId="0" applyNumberFormat="1" applyFont="1" applyBorder="1" applyAlignment="1">
      <alignment horizontal="center"/>
    </xf>
    <xf numFmtId="0" fontId="18" fillId="0" borderId="16" xfId="0" quotePrefix="1" applyFont="1" applyFill="1" applyBorder="1"/>
    <xf numFmtId="0" fontId="22" fillId="0" borderId="0" xfId="0" applyFont="1" applyBorder="1"/>
    <xf numFmtId="0" fontId="16" fillId="0" borderId="0" xfId="0" applyFont="1" applyBorder="1" applyAlignment="1">
      <alignment horizontal="right"/>
    </xf>
    <xf numFmtId="0" fontId="17" fillId="0" borderId="0" xfId="0" applyFont="1" applyAlignment="1">
      <alignment horizontal="left"/>
    </xf>
    <xf numFmtId="43" fontId="16" fillId="0" borderId="0" xfId="2" applyFont="1"/>
    <xf numFmtId="43" fontId="17" fillId="0" borderId="2" xfId="2" applyFont="1" applyBorder="1"/>
    <xf numFmtId="43" fontId="17" fillId="0" borderId="3" xfId="2" applyFont="1" applyBorder="1"/>
    <xf numFmtId="43" fontId="16" fillId="0" borderId="25" xfId="2" applyFont="1" applyBorder="1"/>
    <xf numFmtId="43" fontId="17" fillId="0" borderId="25" xfId="2" applyFont="1" applyBorder="1"/>
    <xf numFmtId="43" fontId="16" fillId="0" borderId="0" xfId="0" applyNumberFormat="1" applyFont="1"/>
    <xf numFmtId="43" fontId="17" fillId="0" borderId="26" xfId="2" applyFont="1" applyBorder="1"/>
    <xf numFmtId="43" fontId="16" fillId="0" borderId="2" xfId="2" applyFont="1" applyBorder="1"/>
    <xf numFmtId="43" fontId="16" fillId="0" borderId="26" xfId="2" applyFont="1" applyBorder="1"/>
    <xf numFmtId="43" fontId="16" fillId="0" borderId="0" xfId="2" applyFont="1" applyBorder="1"/>
    <xf numFmtId="0" fontId="19" fillId="0" borderId="0" xfId="0" applyFont="1" applyAlignment="1"/>
    <xf numFmtId="0" fontId="19" fillId="0" borderId="16" xfId="0" applyFont="1" applyBorder="1" applyAlignment="1"/>
    <xf numFmtId="0" fontId="19" fillId="0" borderId="0" xfId="0" applyFont="1" applyBorder="1" applyAlignment="1"/>
    <xf numFmtId="0" fontId="19" fillId="0" borderId="17" xfId="0" applyFont="1" applyBorder="1" applyAlignment="1"/>
    <xf numFmtId="0" fontId="17" fillId="0" borderId="16" xfId="0" applyFont="1" applyBorder="1" applyAlignment="1"/>
    <xf numFmtId="0" fontId="17" fillId="0" borderId="0" xfId="0" applyFont="1" applyBorder="1" applyAlignment="1">
      <alignment horizontal="center"/>
    </xf>
    <xf numFmtId="0" fontId="16" fillId="0" borderId="16" xfId="0" applyFont="1" applyBorder="1" applyAlignment="1"/>
    <xf numFmtId="43" fontId="17" fillId="0" borderId="0" xfId="2" applyFont="1" applyBorder="1" applyAlignment="1">
      <alignment horizontal="right"/>
    </xf>
    <xf numFmtId="43" fontId="16" fillId="0" borderId="17" xfId="2" applyFont="1" applyBorder="1"/>
    <xf numFmtId="43" fontId="17" fillId="0" borderId="21" xfId="2" applyFont="1" applyBorder="1"/>
    <xf numFmtId="43" fontId="17" fillId="0" borderId="15" xfId="2" applyFont="1" applyBorder="1"/>
    <xf numFmtId="43" fontId="16" fillId="0" borderId="20" xfId="2" applyFont="1" applyBorder="1"/>
    <xf numFmtId="43" fontId="17" fillId="0" borderId="0" xfId="2" applyFont="1" applyBorder="1"/>
    <xf numFmtId="43" fontId="17" fillId="0" borderId="17" xfId="2" applyFont="1" applyBorder="1"/>
    <xf numFmtId="43" fontId="17" fillId="0" borderId="20" xfId="2" applyFont="1" applyBorder="1"/>
    <xf numFmtId="43" fontId="17" fillId="0" borderId="36" xfId="2" applyFont="1" applyBorder="1"/>
    <xf numFmtId="0" fontId="16" fillId="0" borderId="0" xfId="0" applyFont="1" applyBorder="1"/>
    <xf numFmtId="43" fontId="16" fillId="0" borderId="21" xfId="2" applyFont="1" applyBorder="1"/>
    <xf numFmtId="43" fontId="16" fillId="0" borderId="36" xfId="2" applyFont="1" applyBorder="1"/>
    <xf numFmtId="43" fontId="17" fillId="0" borderId="4" xfId="2" applyFont="1" applyBorder="1" applyAlignment="1">
      <alignment horizontal="center"/>
    </xf>
    <xf numFmtId="43" fontId="17" fillId="0" borderId="9" xfId="2" applyFont="1" applyBorder="1" applyAlignment="1">
      <alignment horizontal="center"/>
    </xf>
    <xf numFmtId="43" fontId="17" fillId="0" borderId="29" xfId="2" applyFont="1" applyBorder="1" applyAlignment="1"/>
    <xf numFmtId="43" fontId="17" fillId="0" borderId="30" xfId="2" applyFont="1" applyBorder="1" applyAlignment="1"/>
    <xf numFmtId="43" fontId="17" fillId="0" borderId="31" xfId="2" applyFont="1" applyBorder="1" applyAlignment="1"/>
    <xf numFmtId="43" fontId="17" fillId="0" borderId="1" xfId="2" applyFont="1" applyBorder="1"/>
    <xf numFmtId="43" fontId="19" fillId="0" borderId="0" xfId="2" applyFont="1" applyAlignment="1"/>
    <xf numFmtId="43" fontId="17" fillId="0" borderId="16" xfId="2" applyFont="1" applyBorder="1" applyAlignment="1"/>
    <xf numFmtId="43" fontId="16" fillId="0" borderId="16" xfId="2" applyFont="1" applyBorder="1" applyAlignment="1"/>
    <xf numFmtId="43" fontId="16" fillId="0" borderId="16" xfId="2" applyFont="1" applyBorder="1"/>
    <xf numFmtId="43" fontId="17" fillId="0" borderId="16" xfId="2" applyFont="1" applyBorder="1"/>
    <xf numFmtId="43" fontId="17" fillId="0" borderId="28" xfId="2" applyFont="1" applyBorder="1"/>
    <xf numFmtId="43" fontId="16" fillId="0" borderId="8" xfId="2" applyFont="1" applyBorder="1"/>
    <xf numFmtId="43" fontId="16" fillId="0" borderId="4" xfId="2" applyFont="1" applyBorder="1"/>
    <xf numFmtId="43" fontId="16" fillId="0" borderId="9" xfId="2" applyFont="1" applyBorder="1"/>
    <xf numFmtId="49" fontId="17" fillId="0" borderId="0" xfId="0" applyNumberFormat="1" applyFont="1" applyFill="1" applyAlignment="1">
      <alignment horizontal="center"/>
    </xf>
    <xf numFmtId="43" fontId="17" fillId="0" borderId="0" xfId="2" applyFont="1" applyFill="1" applyBorder="1"/>
    <xf numFmtId="0" fontId="16" fillId="0" borderId="0" xfId="0" applyFont="1" applyFill="1" applyAlignment="1">
      <alignment horizontal="center"/>
    </xf>
    <xf numFmtId="164" fontId="16" fillId="0" borderId="0" xfId="0" applyNumberFormat="1" applyFont="1" applyFill="1" applyAlignment="1">
      <alignment horizontal="center"/>
    </xf>
    <xf numFmtId="164" fontId="16" fillId="0" borderId="0" xfId="0" applyNumberFormat="1" applyFont="1" applyFill="1" applyBorder="1" applyAlignment="1">
      <alignment horizontal="center"/>
    </xf>
    <xf numFmtId="164" fontId="16" fillId="0" borderId="0" xfId="0" applyNumberFormat="1" applyFont="1" applyFill="1" applyBorder="1"/>
    <xf numFmtId="0" fontId="16" fillId="0" borderId="0" xfId="0" applyFont="1" applyFill="1" applyBorder="1" applyAlignment="1">
      <alignment horizontal="center"/>
    </xf>
    <xf numFmtId="0" fontId="16" fillId="0" borderId="17" xfId="0" applyFont="1" applyFill="1" applyBorder="1"/>
    <xf numFmtId="164" fontId="16" fillId="0" borderId="17" xfId="0" applyNumberFormat="1" applyFont="1" applyFill="1" applyBorder="1"/>
    <xf numFmtId="49" fontId="17" fillId="0" borderId="16" xfId="0" applyNumberFormat="1" applyFont="1" applyFill="1" applyBorder="1" applyAlignment="1">
      <alignment horizontal="center"/>
    </xf>
    <xf numFmtId="43" fontId="18" fillId="0" borderId="0" xfId="2" applyFont="1" applyFill="1" applyBorder="1"/>
    <xf numFmtId="0" fontId="17" fillId="0" borderId="0" xfId="0" applyFont="1" applyFill="1" applyBorder="1"/>
    <xf numFmtId="0" fontId="18" fillId="4" borderId="27" xfId="0" applyFont="1" applyFill="1" applyBorder="1"/>
    <xf numFmtId="43" fontId="16" fillId="0" borderId="16" xfId="2" applyFont="1" applyFill="1" applyBorder="1"/>
    <xf numFmtId="43" fontId="17" fillId="0" borderId="40" xfId="2" applyFont="1" applyFill="1" applyBorder="1"/>
    <xf numFmtId="43" fontId="18" fillId="0" borderId="16" xfId="2" applyFont="1" applyFill="1" applyBorder="1"/>
    <xf numFmtId="43" fontId="17" fillId="0" borderId="16" xfId="2" applyFont="1" applyFill="1" applyBorder="1"/>
    <xf numFmtId="43" fontId="16" fillId="0" borderId="8" xfId="2" applyFont="1" applyFill="1" applyBorder="1"/>
    <xf numFmtId="164" fontId="16" fillId="0" borderId="16" xfId="0" applyNumberFormat="1" applyFont="1" applyFill="1" applyBorder="1" applyAlignment="1">
      <alignment horizontal="center"/>
    </xf>
    <xf numFmtId="0" fontId="17" fillId="4" borderId="27" xfId="0" applyFont="1" applyFill="1" applyBorder="1" applyAlignment="1">
      <alignment horizontal="left"/>
    </xf>
    <xf numFmtId="43" fontId="17" fillId="4" borderId="27" xfId="2" applyFont="1" applyFill="1" applyBorder="1"/>
    <xf numFmtId="0" fontId="17" fillId="4" borderId="32" xfId="0" applyFont="1" applyFill="1" applyBorder="1"/>
    <xf numFmtId="43" fontId="17" fillId="4" borderId="34" xfId="2" applyFont="1" applyFill="1" applyBorder="1"/>
    <xf numFmtId="0" fontId="17" fillId="4" borderId="35" xfId="0" applyFont="1" applyFill="1" applyBorder="1" applyAlignment="1">
      <alignment horizontal="left"/>
    </xf>
    <xf numFmtId="43" fontId="17" fillId="4" borderId="22" xfId="2" applyFont="1" applyFill="1" applyBorder="1"/>
    <xf numFmtId="0" fontId="16" fillId="0" borderId="4" xfId="0" applyFont="1" applyBorder="1"/>
    <xf numFmtId="43" fontId="17" fillId="4" borderId="30" xfId="2" applyFont="1" applyFill="1" applyBorder="1"/>
    <xf numFmtId="43" fontId="17" fillId="4" borderId="31" xfId="2" applyFont="1" applyFill="1" applyBorder="1"/>
    <xf numFmtId="0" fontId="16" fillId="0" borderId="13" xfId="0" applyFont="1" applyBorder="1"/>
    <xf numFmtId="43" fontId="16" fillId="0" borderId="13" xfId="2" applyFont="1" applyBorder="1"/>
    <xf numFmtId="43" fontId="17" fillId="0" borderId="13" xfId="2" applyFont="1" applyBorder="1"/>
    <xf numFmtId="43" fontId="24" fillId="0" borderId="13" xfId="2" applyFont="1" applyBorder="1" applyAlignment="1">
      <alignment horizontal="right"/>
    </xf>
    <xf numFmtId="0" fontId="18" fillId="0" borderId="45" xfId="0" applyFont="1" applyBorder="1"/>
    <xf numFmtId="0" fontId="16" fillId="0" borderId="46" xfId="0" applyFont="1" applyBorder="1"/>
    <xf numFmtId="0" fontId="16" fillId="0" borderId="45" xfId="0" applyFont="1" applyBorder="1"/>
    <xf numFmtId="43" fontId="16" fillId="0" borderId="46" xfId="2" applyFont="1" applyBorder="1"/>
    <xf numFmtId="0" fontId="17" fillId="0" borderId="45" xfId="0" applyFont="1" applyBorder="1"/>
    <xf numFmtId="43" fontId="17" fillId="0" borderId="47" xfId="2" applyFont="1" applyBorder="1"/>
    <xf numFmtId="43" fontId="16" fillId="0" borderId="48" xfId="2" applyFont="1" applyBorder="1"/>
    <xf numFmtId="0" fontId="18" fillId="0" borderId="49" xfId="0" applyFont="1" applyBorder="1"/>
    <xf numFmtId="0" fontId="16" fillId="0" borderId="19" xfId="0" applyFont="1" applyBorder="1"/>
    <xf numFmtId="0" fontId="16" fillId="0" borderId="39" xfId="0" applyFont="1" applyBorder="1"/>
    <xf numFmtId="0" fontId="25" fillId="5" borderId="32" xfId="0" applyFont="1" applyFill="1" applyBorder="1" applyAlignment="1">
      <alignment horizontal="center"/>
    </xf>
    <xf numFmtId="0" fontId="25" fillId="5" borderId="33" xfId="0" applyFont="1" applyFill="1" applyBorder="1" applyAlignment="1">
      <alignment horizontal="center"/>
    </xf>
    <xf numFmtId="0" fontId="25" fillId="5" borderId="34" xfId="0" applyFont="1" applyFill="1" applyBorder="1" applyAlignment="1">
      <alignment horizontal="center"/>
    </xf>
    <xf numFmtId="0" fontId="25" fillId="0" borderId="0" xfId="0" applyFont="1" applyFill="1" applyBorder="1" applyAlignment="1">
      <alignment horizontal="center" vertical="center"/>
    </xf>
    <xf numFmtId="0" fontId="16" fillId="0" borderId="17" xfId="0" applyFont="1" applyBorder="1"/>
    <xf numFmtId="43" fontId="16" fillId="0" borderId="17" xfId="3" applyFont="1" applyFill="1" applyBorder="1"/>
    <xf numFmtId="0" fontId="16" fillId="0" borderId="9" xfId="0" applyFont="1" applyBorder="1"/>
    <xf numFmtId="0" fontId="17" fillId="0" borderId="51" xfId="0" applyFont="1" applyFill="1" applyBorder="1"/>
    <xf numFmtId="0" fontId="17" fillId="0" borderId="51" xfId="0" applyFont="1" applyBorder="1"/>
    <xf numFmtId="43" fontId="17" fillId="0" borderId="2" xfId="3" applyFont="1" applyFill="1" applyBorder="1"/>
    <xf numFmtId="43" fontId="17" fillId="0" borderId="21" xfId="3" applyFont="1" applyFill="1" applyBorder="1"/>
    <xf numFmtId="43" fontId="17" fillId="0" borderId="26" xfId="3" applyFont="1" applyFill="1" applyBorder="1"/>
    <xf numFmtId="43" fontId="17" fillId="0" borderId="36" xfId="3" applyFont="1" applyFill="1" applyBorder="1"/>
    <xf numFmtId="0" fontId="16" fillId="0" borderId="0" xfId="0" quotePrefix="1" applyFont="1" applyFill="1" applyBorder="1"/>
    <xf numFmtId="0" fontId="27" fillId="0" borderId="0" xfId="0" applyFont="1" applyFill="1" applyBorder="1"/>
    <xf numFmtId="43" fontId="17" fillId="0" borderId="17" xfId="3" applyFont="1" applyFill="1" applyBorder="1"/>
    <xf numFmtId="43" fontId="17" fillId="0" borderId="52" xfId="2" applyFont="1" applyFill="1" applyBorder="1"/>
    <xf numFmtId="0" fontId="16" fillId="0" borderId="0" xfId="0" quotePrefix="1" applyFont="1" applyAlignment="1">
      <alignment horizontal="center"/>
    </xf>
    <xf numFmtId="0" fontId="16" fillId="0" borderId="0" xfId="0" applyFont="1" applyAlignment="1">
      <alignment wrapText="1"/>
    </xf>
    <xf numFmtId="0" fontId="16" fillId="6" borderId="29" xfId="0" applyFont="1" applyFill="1" applyBorder="1"/>
    <xf numFmtId="0" fontId="17" fillId="6" borderId="27" xfId="0" applyFont="1" applyFill="1" applyBorder="1" applyAlignment="1">
      <alignment horizontal="center"/>
    </xf>
    <xf numFmtId="0" fontId="17" fillId="6" borderId="32" xfId="0" applyFont="1" applyFill="1" applyBorder="1" applyAlignment="1">
      <alignment horizontal="center" wrapText="1"/>
    </xf>
    <xf numFmtId="0" fontId="17" fillId="6" borderId="33" xfId="0" applyFont="1" applyFill="1" applyBorder="1" applyAlignment="1">
      <alignment horizontal="center" wrapText="1"/>
    </xf>
    <xf numFmtId="0" fontId="17" fillId="6" borderId="34" xfId="0" applyFont="1" applyFill="1" applyBorder="1" applyAlignment="1">
      <alignment horizontal="center" wrapText="1"/>
    </xf>
    <xf numFmtId="0" fontId="18" fillId="6" borderId="27" xfId="0" applyFont="1" applyFill="1" applyBorder="1" applyAlignment="1">
      <alignment horizontal="center"/>
    </xf>
    <xf numFmtId="0" fontId="17" fillId="6" borderId="29" xfId="0" applyFont="1" applyFill="1" applyBorder="1"/>
    <xf numFmtId="0" fontId="18" fillId="6" borderId="30" xfId="0" applyFont="1" applyFill="1" applyBorder="1" applyAlignment="1">
      <alignment horizontal="center"/>
    </xf>
    <xf numFmtId="0" fontId="18" fillId="6" borderId="31" xfId="0" applyFont="1" applyFill="1" applyBorder="1" applyAlignment="1">
      <alignment horizontal="center"/>
    </xf>
    <xf numFmtId="0" fontId="17" fillId="7" borderId="32" xfId="0" applyFont="1" applyFill="1" applyBorder="1" applyAlignment="1">
      <alignment horizontal="center" wrapText="1"/>
    </xf>
    <xf numFmtId="0" fontId="17" fillId="7" borderId="33" xfId="0" applyFont="1" applyFill="1" applyBorder="1" applyAlignment="1">
      <alignment horizontal="center" wrapText="1"/>
    </xf>
    <xf numFmtId="0" fontId="17" fillId="7" borderId="34" xfId="0" applyFont="1" applyFill="1" applyBorder="1" applyAlignment="1">
      <alignment horizontal="center" wrapText="1"/>
    </xf>
    <xf numFmtId="0" fontId="17" fillId="7" borderId="27" xfId="0" applyFont="1" applyFill="1" applyBorder="1" applyAlignment="1">
      <alignment horizontal="center"/>
    </xf>
    <xf numFmtId="43" fontId="17" fillId="7" borderId="29" xfId="2" applyFont="1" applyFill="1" applyBorder="1" applyAlignment="1"/>
    <xf numFmtId="43" fontId="17" fillId="7" borderId="30" xfId="2" applyFont="1" applyFill="1" applyBorder="1" applyAlignment="1"/>
    <xf numFmtId="43" fontId="17" fillId="7" borderId="31" xfId="2" applyFont="1" applyFill="1" applyBorder="1" applyAlignment="1"/>
    <xf numFmtId="0" fontId="17" fillId="0" borderId="27" xfId="0" applyFont="1" applyFill="1" applyBorder="1"/>
    <xf numFmtId="43" fontId="18" fillId="0" borderId="32" xfId="2" applyFont="1" applyFill="1" applyBorder="1" applyAlignment="1">
      <alignment horizontal="center"/>
    </xf>
    <xf numFmtId="43" fontId="18" fillId="0" borderId="33" xfId="2" applyFont="1" applyFill="1" applyBorder="1" applyAlignment="1">
      <alignment horizontal="center"/>
    </xf>
    <xf numFmtId="43" fontId="18" fillId="0" borderId="34" xfId="2" applyFont="1" applyFill="1" applyBorder="1" applyAlignment="1">
      <alignment horizontal="center"/>
    </xf>
    <xf numFmtId="43" fontId="18" fillId="0" borderId="16" xfId="2" applyFont="1" applyFill="1" applyBorder="1" applyAlignment="1">
      <alignment horizontal="center"/>
    </xf>
    <xf numFmtId="43" fontId="18" fillId="0" borderId="0" xfId="2" applyFont="1" applyFill="1" applyBorder="1" applyAlignment="1">
      <alignment horizontal="center"/>
    </xf>
    <xf numFmtId="43" fontId="18" fillId="0" borderId="17" xfId="2" applyFont="1" applyFill="1" applyBorder="1" applyAlignment="1">
      <alignment horizontal="center"/>
    </xf>
    <xf numFmtId="0" fontId="18" fillId="0" borderId="18" xfId="0" applyFont="1" applyFill="1" applyBorder="1"/>
    <xf numFmtId="0" fontId="33" fillId="0" borderId="0" xfId="0" applyFont="1" applyFill="1" applyBorder="1" applyAlignment="1">
      <alignment horizontal="center"/>
    </xf>
    <xf numFmtId="0" fontId="32" fillId="0" borderId="0" xfId="0" applyFont="1" applyBorder="1"/>
    <xf numFmtId="0" fontId="32" fillId="0" borderId="0" xfId="0" applyFont="1"/>
    <xf numFmtId="0" fontId="31" fillId="0" borderId="16" xfId="0" applyFont="1" applyFill="1" applyBorder="1" applyAlignment="1">
      <alignment horizontal="left"/>
    </xf>
    <xf numFmtId="0" fontId="32" fillId="0" borderId="16" xfId="0" applyFont="1" applyBorder="1"/>
    <xf numFmtId="0" fontId="32" fillId="0" borderId="8" xfId="0" applyFont="1" applyBorder="1"/>
    <xf numFmtId="43" fontId="31" fillId="0" borderId="16" xfId="2" applyFont="1" applyFill="1" applyBorder="1" applyAlignment="1">
      <alignment horizontal="center"/>
    </xf>
    <xf numFmtId="9" fontId="32" fillId="0" borderId="16" xfId="12" applyFont="1" applyBorder="1"/>
    <xf numFmtId="9" fontId="31" fillId="0" borderId="16" xfId="12" applyFont="1" applyBorder="1"/>
    <xf numFmtId="0" fontId="30" fillId="0" borderId="16" xfId="0" applyFont="1" applyBorder="1"/>
    <xf numFmtId="43" fontId="31" fillId="6" borderId="29" xfId="2" applyFont="1" applyFill="1" applyBorder="1" applyAlignment="1">
      <alignment horizontal="center"/>
    </xf>
    <xf numFmtId="0" fontId="32" fillId="0" borderId="16" xfId="0" applyFont="1" applyBorder="1" applyAlignment="1">
      <alignment wrapText="1"/>
    </xf>
    <xf numFmtId="43" fontId="16" fillId="0" borderId="0" xfId="0" applyNumberFormat="1" applyFont="1" applyFill="1" applyBorder="1"/>
    <xf numFmtId="0" fontId="17" fillId="6" borderId="27" xfId="0" applyFont="1" applyFill="1" applyBorder="1"/>
    <xf numFmtId="164" fontId="16" fillId="0" borderId="0" xfId="0" applyNumberFormat="1" applyFont="1" applyBorder="1"/>
    <xf numFmtId="0" fontId="32" fillId="0" borderId="11" xfId="0" applyFont="1" applyBorder="1" applyAlignment="1">
      <alignment horizontal="justify" vertical="center"/>
    </xf>
    <xf numFmtId="0" fontId="32" fillId="0" borderId="12" xfId="0" applyFont="1" applyBorder="1" applyAlignment="1">
      <alignment horizontal="justify" vertical="center"/>
    </xf>
    <xf numFmtId="0" fontId="30" fillId="0" borderId="32" xfId="0" applyFont="1" applyBorder="1" applyAlignment="1">
      <alignment horizontal="justify" vertical="center"/>
    </xf>
    <xf numFmtId="0" fontId="30" fillId="7" borderId="33" xfId="0" applyFont="1" applyFill="1" applyBorder="1"/>
    <xf numFmtId="0" fontId="31" fillId="0" borderId="27" xfId="0" applyFont="1" applyBorder="1" applyAlignment="1">
      <alignment horizontal="center"/>
    </xf>
    <xf numFmtId="0" fontId="32" fillId="0" borderId="4" xfId="0" applyFont="1" applyBorder="1"/>
    <xf numFmtId="43" fontId="30" fillId="0" borderId="27" xfId="2" applyFont="1" applyBorder="1"/>
    <xf numFmtId="0" fontId="32" fillId="0" borderId="32" xfId="0" applyFont="1" applyBorder="1"/>
    <xf numFmtId="43" fontId="32" fillId="0" borderId="33" xfId="2" applyFont="1" applyBorder="1"/>
    <xf numFmtId="0" fontId="34" fillId="7" borderId="58" xfId="0" applyFont="1" applyFill="1" applyBorder="1" applyAlignment="1">
      <alignment horizontal="justify" vertical="center" wrapText="1"/>
    </xf>
    <xf numFmtId="0" fontId="34" fillId="7" borderId="55" xfId="0" applyFont="1" applyFill="1" applyBorder="1" applyAlignment="1">
      <alignment horizontal="justify" vertical="center" wrapText="1"/>
    </xf>
    <xf numFmtId="0" fontId="32" fillId="0" borderId="54" xfId="0" applyFont="1" applyBorder="1" applyAlignment="1">
      <alignment horizontal="justify" vertical="center" wrapText="1"/>
    </xf>
    <xf numFmtId="4" fontId="32" fillId="0" borderId="56" xfId="0" applyNumberFormat="1" applyFont="1" applyBorder="1" applyAlignment="1">
      <alignment horizontal="justify" vertical="center" wrapText="1"/>
    </xf>
    <xf numFmtId="0" fontId="35" fillId="0" borderId="10" xfId="0" applyFont="1" applyBorder="1" applyAlignment="1">
      <alignment horizontal="justify" vertical="center"/>
    </xf>
    <xf numFmtId="0" fontId="34" fillId="7" borderId="11" xfId="0" applyFont="1" applyFill="1" applyBorder="1" applyAlignment="1">
      <alignment horizontal="center" vertical="center"/>
    </xf>
    <xf numFmtId="43" fontId="32" fillId="0" borderId="0" xfId="0" applyNumberFormat="1" applyFont="1" applyBorder="1"/>
    <xf numFmtId="0" fontId="32" fillId="0" borderId="0" xfId="0" applyFont="1" applyBorder="1" applyAlignment="1">
      <alignment horizontal="center"/>
    </xf>
    <xf numFmtId="0" fontId="32" fillId="0" borderId="8" xfId="0" applyFont="1" applyBorder="1" applyAlignment="1">
      <alignment horizontal="right"/>
    </xf>
    <xf numFmtId="43" fontId="16" fillId="0" borderId="0" xfId="0" applyNumberFormat="1" applyFont="1" applyFill="1" applyAlignment="1">
      <alignment horizontal="right"/>
    </xf>
    <xf numFmtId="43" fontId="16" fillId="0" borderId="0" xfId="0" applyNumberFormat="1" applyFont="1" applyFill="1" applyAlignment="1">
      <alignment horizontal="left"/>
    </xf>
    <xf numFmtId="0" fontId="36" fillId="0" borderId="0" xfId="0" applyFont="1" applyBorder="1"/>
    <xf numFmtId="43" fontId="36" fillId="0" borderId="0" xfId="3" applyFont="1" applyFill="1" applyBorder="1"/>
    <xf numFmtId="43" fontId="37" fillId="0" borderId="16" xfId="2" applyFont="1" applyBorder="1"/>
    <xf numFmtId="43" fontId="33" fillId="6" borderId="32" xfId="2" applyFont="1" applyFill="1" applyBorder="1" applyAlignment="1">
      <alignment horizontal="center"/>
    </xf>
    <xf numFmtId="43" fontId="26" fillId="0" borderId="16" xfId="2" applyFont="1" applyBorder="1"/>
    <xf numFmtId="0" fontId="26" fillId="0" borderId="16" xfId="0" applyFont="1" applyBorder="1"/>
    <xf numFmtId="39" fontId="37" fillId="0" borderId="16" xfId="2" applyNumberFormat="1" applyFont="1" applyBorder="1" applyAlignment="1">
      <alignment horizontal="right"/>
    </xf>
    <xf numFmtId="43" fontId="20" fillId="0" borderId="0" xfId="3" applyFont="1" applyFill="1" applyBorder="1"/>
    <xf numFmtId="43" fontId="20" fillId="0" borderId="2" xfId="3" applyFont="1" applyFill="1" applyBorder="1"/>
    <xf numFmtId="0" fontId="24" fillId="0" borderId="0" xfId="0" applyFont="1" applyBorder="1"/>
    <xf numFmtId="43" fontId="24" fillId="0" borderId="0" xfId="3" applyFont="1" applyFill="1" applyBorder="1"/>
    <xf numFmtId="2" fontId="0" fillId="0" borderId="0" xfId="0" applyNumberFormat="1"/>
    <xf numFmtId="2" fontId="33" fillId="0" borderId="0" xfId="0" applyNumberFormat="1" applyFont="1" applyFill="1" applyBorder="1" applyAlignment="1">
      <alignment horizontal="center"/>
    </xf>
    <xf numFmtId="2" fontId="16" fillId="0" borderId="0" xfId="0" applyNumberFormat="1" applyFont="1" applyFill="1"/>
    <xf numFmtId="0" fontId="16" fillId="2" borderId="0" xfId="0" applyFont="1" applyFill="1"/>
    <xf numFmtId="0" fontId="16" fillId="2" borderId="0" xfId="0" applyFont="1" applyFill="1" applyBorder="1"/>
    <xf numFmtId="43" fontId="16" fillId="2" borderId="0" xfId="2" applyFont="1" applyFill="1" applyBorder="1"/>
    <xf numFmtId="164" fontId="16" fillId="2" borderId="0" xfId="0" applyNumberFormat="1" applyFont="1" applyFill="1" applyBorder="1"/>
    <xf numFmtId="43" fontId="17" fillId="2" borderId="29" xfId="2" applyFont="1" applyFill="1" applyBorder="1"/>
    <xf numFmtId="0" fontId="16" fillId="2" borderId="4" xfId="0" applyFont="1" applyFill="1" applyBorder="1"/>
    <xf numFmtId="2" fontId="32" fillId="0" borderId="0" xfId="0" applyNumberFormat="1" applyFont="1" applyBorder="1"/>
    <xf numFmtId="43" fontId="32" fillId="0" borderId="8" xfId="0" applyNumberFormat="1" applyFont="1" applyBorder="1"/>
    <xf numFmtId="43" fontId="36" fillId="0" borderId="0" xfId="0" applyNumberFormat="1" applyFont="1" applyFill="1"/>
    <xf numFmtId="0" fontId="36" fillId="0" borderId="0" xfId="0" applyFont="1" applyFill="1"/>
    <xf numFmtId="43" fontId="32" fillId="0" borderId="16" xfId="0" applyNumberFormat="1" applyFont="1" applyBorder="1"/>
    <xf numFmtId="43" fontId="32" fillId="0" borderId="11" xfId="2" applyFont="1" applyBorder="1" applyAlignment="1">
      <alignment horizontal="justify" vertical="center"/>
    </xf>
    <xf numFmtId="43" fontId="32" fillId="0" borderId="19" xfId="2" applyFont="1" applyBorder="1" applyAlignment="1">
      <alignment horizontal="justify" vertical="center"/>
    </xf>
    <xf numFmtId="43" fontId="26" fillId="0" borderId="13" xfId="2" applyFont="1" applyBorder="1" applyAlignment="1">
      <alignment horizontal="justify" vertical="center"/>
    </xf>
    <xf numFmtId="43" fontId="26" fillId="0" borderId="46" xfId="2" applyFont="1" applyBorder="1"/>
    <xf numFmtId="43" fontId="16" fillId="0" borderId="0" xfId="0" applyNumberFormat="1" applyFont="1" applyAlignment="1">
      <alignment horizontal="center"/>
    </xf>
    <xf numFmtId="43" fontId="16" fillId="0" borderId="16" xfId="0" applyNumberFormat="1" applyFont="1" applyBorder="1"/>
    <xf numFmtId="43" fontId="16" fillId="0" borderId="16" xfId="0" applyNumberFormat="1" applyFont="1" applyFill="1" applyBorder="1"/>
    <xf numFmtId="43" fontId="17" fillId="0" borderId="0" xfId="0" applyNumberFormat="1" applyFont="1" applyBorder="1" applyAlignment="1">
      <alignment horizontal="center"/>
    </xf>
    <xf numFmtId="43" fontId="37" fillId="0" borderId="0" xfId="0" applyNumberFormat="1" applyFont="1" applyBorder="1"/>
    <xf numFmtId="43" fontId="16" fillId="0" borderId="8" xfId="0" applyNumberFormat="1" applyFont="1" applyFill="1" applyBorder="1"/>
    <xf numFmtId="0" fontId="37" fillId="2" borderId="16" xfId="0" applyFont="1" applyFill="1" applyBorder="1"/>
    <xf numFmtId="43" fontId="17" fillId="2" borderId="0" xfId="2" applyFont="1" applyFill="1" applyBorder="1"/>
    <xf numFmtId="0" fontId="32" fillId="0" borderId="45" xfId="0" applyFont="1" applyBorder="1" applyAlignment="1">
      <alignment horizontal="justify" vertical="center"/>
    </xf>
    <xf numFmtId="164" fontId="24" fillId="2" borderId="16" xfId="0" applyNumberFormat="1" applyFont="1" applyFill="1" applyBorder="1" applyAlignment="1">
      <alignment horizontal="center"/>
    </xf>
    <xf numFmtId="164" fontId="24" fillId="2" borderId="0" xfId="0" applyNumberFormat="1" applyFont="1" applyFill="1" applyBorder="1"/>
    <xf numFmtId="164" fontId="24" fillId="2" borderId="0" xfId="0" applyNumberFormat="1" applyFont="1" applyFill="1" applyBorder="1" applyAlignment="1">
      <alignment horizontal="center"/>
    </xf>
    <xf numFmtId="164" fontId="24" fillId="2" borderId="17" xfId="0" applyNumberFormat="1" applyFont="1" applyFill="1" applyBorder="1"/>
    <xf numFmtId="164" fontId="24" fillId="2" borderId="41" xfId="0" applyNumberFormat="1" applyFont="1" applyFill="1" applyBorder="1" applyAlignment="1">
      <alignment horizontal="center"/>
    </xf>
    <xf numFmtId="164" fontId="24" fillId="2" borderId="25" xfId="0" applyNumberFormat="1" applyFont="1" applyFill="1" applyBorder="1"/>
    <xf numFmtId="164" fontId="24" fillId="2" borderId="25" xfId="0" applyNumberFormat="1" applyFont="1" applyFill="1" applyBorder="1" applyAlignment="1">
      <alignment horizontal="center"/>
    </xf>
    <xf numFmtId="164" fontId="24" fillId="2" borderId="20" xfId="0" applyNumberFormat="1" applyFont="1" applyFill="1" applyBorder="1"/>
    <xf numFmtId="164" fontId="20" fillId="2" borderId="16" xfId="0" applyNumberFormat="1" applyFont="1" applyFill="1" applyBorder="1" applyAlignment="1">
      <alignment horizontal="center"/>
    </xf>
    <xf numFmtId="164" fontId="20" fillId="2" borderId="0" xfId="0" applyNumberFormat="1" applyFont="1" applyFill="1" applyBorder="1" applyAlignment="1">
      <alignment horizontal="center"/>
    </xf>
    <xf numFmtId="164" fontId="20" fillId="2" borderId="0" xfId="0" applyNumberFormat="1" applyFont="1" applyFill="1" applyBorder="1"/>
    <xf numFmtId="164" fontId="20" fillId="2" borderId="40" xfId="0" applyNumberFormat="1" applyFont="1" applyFill="1" applyBorder="1" applyAlignment="1">
      <alignment horizontal="center"/>
    </xf>
    <xf numFmtId="164" fontId="20" fillId="2" borderId="24" xfId="0" applyNumberFormat="1" applyFont="1" applyFill="1" applyBorder="1" applyAlignment="1">
      <alignment horizontal="center"/>
    </xf>
    <xf numFmtId="164" fontId="20" fillId="2" borderId="24" xfId="0" applyNumberFormat="1" applyFont="1" applyFill="1" applyBorder="1"/>
    <xf numFmtId="164" fontId="20" fillId="2" borderId="22" xfId="0" applyNumberFormat="1" applyFont="1" applyFill="1" applyBorder="1"/>
    <xf numFmtId="43" fontId="24" fillId="2" borderId="16" xfId="0" applyNumberFormat="1" applyFont="1" applyFill="1" applyBorder="1" applyAlignment="1">
      <alignment horizontal="center"/>
    </xf>
    <xf numFmtId="164" fontId="24" fillId="2" borderId="8" xfId="0" applyNumberFormat="1" applyFont="1" applyFill="1" applyBorder="1" applyAlignment="1">
      <alignment horizontal="center"/>
    </xf>
    <xf numFmtId="164" fontId="24" fillId="2" borderId="9" xfId="0" applyNumberFormat="1" applyFont="1" applyFill="1" applyBorder="1"/>
    <xf numFmtId="164" fontId="24" fillId="2" borderId="22" xfId="0" applyNumberFormat="1" applyFont="1" applyFill="1" applyBorder="1"/>
    <xf numFmtId="43" fontId="26" fillId="2" borderId="16" xfId="2" applyFont="1" applyFill="1" applyBorder="1"/>
    <xf numFmtId="39" fontId="26" fillId="2" borderId="16" xfId="2" applyNumberFormat="1" applyFont="1" applyFill="1" applyBorder="1" applyAlignment="1">
      <alignment horizontal="right"/>
    </xf>
    <xf numFmtId="43" fontId="26" fillId="2" borderId="5" xfId="2" applyFont="1" applyFill="1" applyBorder="1"/>
    <xf numFmtId="0" fontId="26" fillId="2" borderId="16" xfId="0" applyFont="1" applyFill="1" applyBorder="1"/>
    <xf numFmtId="43" fontId="34" fillId="2" borderId="53" xfId="2" applyFont="1" applyFill="1" applyBorder="1"/>
    <xf numFmtId="43" fontId="34" fillId="2" borderId="16" xfId="0" applyNumberFormat="1" applyFont="1" applyFill="1" applyBorder="1"/>
    <xf numFmtId="43" fontId="34" fillId="2" borderId="16" xfId="2" applyFont="1" applyFill="1" applyBorder="1"/>
    <xf numFmtId="0" fontId="16" fillId="6" borderId="0" xfId="0" applyFont="1" applyFill="1" applyBorder="1"/>
    <xf numFmtId="43" fontId="17" fillId="6" borderId="32" xfId="2" quotePrefix="1" applyFont="1" applyFill="1" applyBorder="1" applyAlignment="1"/>
    <xf numFmtId="164" fontId="16" fillId="0" borderId="17" xfId="0" applyNumberFormat="1" applyFont="1" applyBorder="1"/>
    <xf numFmtId="43" fontId="17" fillId="0" borderId="59" xfId="2" applyFont="1" applyBorder="1"/>
    <xf numFmtId="43" fontId="17" fillId="0" borderId="40" xfId="2" applyFont="1" applyBorder="1"/>
    <xf numFmtId="43" fontId="17" fillId="0" borderId="22" xfId="2" applyFont="1" applyBorder="1"/>
    <xf numFmtId="164" fontId="16" fillId="2" borderId="0" xfId="0" applyNumberFormat="1" applyFont="1" applyFill="1" applyBorder="1" applyAlignment="1">
      <alignment horizontal="center"/>
    </xf>
    <xf numFmtId="164" fontId="17" fillId="2" borderId="30" xfId="0" applyNumberFormat="1" applyFont="1" applyFill="1" applyBorder="1" applyAlignment="1">
      <alignment horizontal="center"/>
    </xf>
    <xf numFmtId="0" fontId="32" fillId="0" borderId="61" xfId="0" applyFont="1" applyBorder="1"/>
    <xf numFmtId="43" fontId="16" fillId="0" borderId="61" xfId="2" applyFont="1" applyFill="1" applyBorder="1"/>
    <xf numFmtId="43" fontId="33" fillId="6" borderId="29" xfId="2" applyFont="1" applyFill="1" applyBorder="1" applyAlignment="1">
      <alignment horizontal="center"/>
    </xf>
    <xf numFmtId="0" fontId="32" fillId="0" borderId="60" xfId="0" applyFont="1" applyBorder="1"/>
    <xf numFmtId="0" fontId="16" fillId="0" borderId="61" xfId="0" applyFont="1" applyFill="1" applyBorder="1"/>
    <xf numFmtId="0" fontId="16" fillId="0" borderId="61" xfId="0" applyFont="1" applyFill="1" applyBorder="1" applyAlignment="1">
      <alignment horizontal="center"/>
    </xf>
    <xf numFmtId="164" fontId="16" fillId="0" borderId="61" xfId="0" applyNumberFormat="1" applyFont="1" applyFill="1" applyBorder="1"/>
    <xf numFmtId="43" fontId="17" fillId="4" borderId="62" xfId="2" applyFont="1" applyFill="1" applyBorder="1"/>
    <xf numFmtId="43" fontId="17" fillId="0" borderId="61" xfId="2" applyFont="1" applyFill="1" applyBorder="1"/>
    <xf numFmtId="0" fontId="16" fillId="0" borderId="63" xfId="0" applyFont="1" applyFill="1" applyBorder="1"/>
    <xf numFmtId="0" fontId="44" fillId="0" borderId="0" xfId="0" applyFont="1" applyAlignment="1">
      <alignment horizontal="center"/>
    </xf>
    <xf numFmtId="43" fontId="0" fillId="0" borderId="0" xfId="2" applyFont="1"/>
    <xf numFmtId="43" fontId="17" fillId="0" borderId="46" xfId="2" applyFont="1" applyBorder="1"/>
    <xf numFmtId="0" fontId="30" fillId="0" borderId="65" xfId="0" applyFont="1" applyBorder="1"/>
    <xf numFmtId="0" fontId="16" fillId="0" borderId="0" xfId="0" applyFont="1" applyFill="1" applyAlignment="1">
      <alignment horizontal="center"/>
    </xf>
    <xf numFmtId="0" fontId="32" fillId="0" borderId="19" xfId="0" applyFont="1" applyBorder="1" applyAlignment="1">
      <alignment horizontal="justify" vertical="center"/>
    </xf>
    <xf numFmtId="0" fontId="32" fillId="0" borderId="13" xfId="0" applyFont="1" applyBorder="1" applyAlignment="1">
      <alignment horizontal="justify" vertical="center"/>
    </xf>
    <xf numFmtId="0" fontId="32" fillId="0" borderId="48" xfId="0" applyFont="1" applyBorder="1" applyAlignment="1">
      <alignment horizontal="justify" vertical="center"/>
    </xf>
    <xf numFmtId="43" fontId="32" fillId="0" borderId="13" xfId="2" applyFont="1" applyBorder="1" applyAlignment="1">
      <alignment horizontal="justify" vertical="center"/>
    </xf>
    <xf numFmtId="0" fontId="16" fillId="0" borderId="5" xfId="0" applyFont="1" applyBorder="1"/>
    <xf numFmtId="0" fontId="25" fillId="0" borderId="17" xfId="0" applyFont="1" applyFill="1" applyBorder="1" applyAlignment="1">
      <alignment horizontal="center" vertical="center"/>
    </xf>
    <xf numFmtId="0" fontId="22" fillId="0" borderId="50" xfId="0" applyFont="1" applyFill="1" applyBorder="1" applyAlignment="1">
      <alignment vertical="center"/>
    </xf>
    <xf numFmtId="0" fontId="16" fillId="0" borderId="51" xfId="0" applyFont="1" applyBorder="1"/>
    <xf numFmtId="43" fontId="42" fillId="2" borderId="0" xfId="2" applyFont="1" applyFill="1" applyBorder="1"/>
    <xf numFmtId="0" fontId="31" fillId="0" borderId="0" xfId="0" applyFont="1" applyFill="1" applyBorder="1" applyAlignment="1">
      <alignment horizontal="left"/>
    </xf>
    <xf numFmtId="43" fontId="31" fillId="6" borderId="27" xfId="2" applyFont="1" applyFill="1" applyBorder="1" applyAlignment="1">
      <alignment horizontal="center"/>
    </xf>
    <xf numFmtId="0" fontId="32" fillId="0" borderId="17" xfId="0" applyFont="1" applyBorder="1"/>
    <xf numFmtId="43" fontId="32" fillId="0" borderId="51" xfId="2" applyFont="1" applyBorder="1"/>
    <xf numFmtId="43" fontId="30" fillId="0" borderId="34" xfId="0" applyNumberFormat="1" applyFont="1" applyBorder="1"/>
    <xf numFmtId="43" fontId="30" fillId="0" borderId="0" xfId="0" applyNumberFormat="1" applyFont="1" applyBorder="1"/>
    <xf numFmtId="43" fontId="32" fillId="0" borderId="17" xfId="2" applyFont="1" applyBorder="1"/>
    <xf numFmtId="43" fontId="26" fillId="2" borderId="51" xfId="2" applyFont="1" applyFill="1" applyBorder="1"/>
    <xf numFmtId="43" fontId="26" fillId="2" borderId="35" xfId="2" applyFont="1" applyFill="1" applyBorder="1"/>
    <xf numFmtId="43" fontId="16" fillId="0" borderId="51" xfId="2" applyFont="1" applyFill="1" applyBorder="1"/>
    <xf numFmtId="43" fontId="30" fillId="0" borderId="27" xfId="0" applyNumberFormat="1" applyFont="1" applyBorder="1"/>
    <xf numFmtId="43" fontId="40" fillId="2" borderId="51" xfId="2" applyNumberFormat="1" applyFont="1" applyFill="1" applyBorder="1"/>
    <xf numFmtId="0" fontId="32" fillId="0" borderId="50" xfId="0" applyFont="1" applyBorder="1"/>
    <xf numFmtId="43" fontId="16" fillId="0" borderId="35" xfId="2" applyFont="1" applyFill="1" applyBorder="1"/>
    <xf numFmtId="43" fontId="31" fillId="0" borderId="17" xfId="2" applyFont="1" applyFill="1" applyBorder="1" applyAlignment="1">
      <alignment horizontal="center"/>
    </xf>
    <xf numFmtId="43" fontId="30" fillId="0" borderId="31" xfId="0" applyNumberFormat="1" applyFont="1" applyBorder="1"/>
    <xf numFmtId="43" fontId="31" fillId="0" borderId="50" xfId="2" applyFont="1" applyFill="1" applyBorder="1" applyAlignment="1">
      <alignment horizontal="center"/>
    </xf>
    <xf numFmtId="43" fontId="37" fillId="0" borderId="51" xfId="2" applyFont="1" applyBorder="1"/>
    <xf numFmtId="43" fontId="32" fillId="0" borderId="35" xfId="2" applyFont="1" applyBorder="1"/>
    <xf numFmtId="0" fontId="32" fillId="0" borderId="51" xfId="0" applyFont="1" applyBorder="1"/>
    <xf numFmtId="0" fontId="31" fillId="0" borderId="29" xfId="0" applyFont="1" applyFill="1" applyBorder="1" applyAlignment="1">
      <alignment horizontal="left"/>
    </xf>
    <xf numFmtId="0" fontId="31" fillId="0" borderId="31" xfId="0" applyFont="1" applyFill="1" applyBorder="1" applyAlignment="1">
      <alignment horizontal="left"/>
    </xf>
    <xf numFmtId="0" fontId="31" fillId="0" borderId="17" xfId="0" applyFont="1" applyFill="1" applyBorder="1" applyAlignment="1">
      <alignment horizontal="left"/>
    </xf>
    <xf numFmtId="43" fontId="31" fillId="6" borderId="31" xfId="2" applyFont="1" applyFill="1" applyBorder="1" applyAlignment="1">
      <alignment horizontal="center"/>
    </xf>
    <xf numFmtId="43" fontId="41" fillId="2" borderId="35" xfId="2" applyNumberFormat="1" applyFont="1" applyFill="1" applyBorder="1"/>
    <xf numFmtId="43" fontId="30" fillId="0" borderId="17" xfId="0" applyNumberFormat="1" applyFont="1" applyBorder="1"/>
    <xf numFmtId="43" fontId="33" fillId="6" borderId="31" xfId="2" applyFont="1" applyFill="1" applyBorder="1" applyAlignment="1">
      <alignment horizontal="center"/>
    </xf>
    <xf numFmtId="43" fontId="30" fillId="0" borderId="22" xfId="2" applyFont="1" applyBorder="1"/>
    <xf numFmtId="43" fontId="30" fillId="0" borderId="67" xfId="2" applyFont="1" applyFill="1" applyBorder="1"/>
    <xf numFmtId="43" fontId="30" fillId="0" borderId="28" xfId="2" applyFont="1" applyFill="1" applyBorder="1"/>
    <xf numFmtId="43" fontId="30" fillId="0" borderId="17" xfId="2" applyFont="1" applyBorder="1"/>
    <xf numFmtId="43" fontId="30" fillId="0" borderId="35" xfId="2" applyFont="1" applyFill="1" applyBorder="1"/>
    <xf numFmtId="43" fontId="30" fillId="0" borderId="27" xfId="2" applyFont="1" applyFill="1" applyBorder="1"/>
    <xf numFmtId="0" fontId="30" fillId="0" borderId="29" xfId="0" applyFont="1" applyBorder="1"/>
    <xf numFmtId="164" fontId="30" fillId="0" borderId="27" xfId="0" applyNumberFormat="1" applyFont="1" applyBorder="1"/>
    <xf numFmtId="0" fontId="30" fillId="7" borderId="32" xfId="0" applyFont="1" applyFill="1" applyBorder="1"/>
    <xf numFmtId="0" fontId="30" fillId="7" borderId="34" xfId="0" applyFont="1" applyFill="1" applyBorder="1"/>
    <xf numFmtId="0" fontId="32" fillId="0" borderId="68" xfId="0" applyFont="1" applyBorder="1" applyAlignment="1">
      <alignment horizontal="justify" vertical="center"/>
    </xf>
    <xf numFmtId="0" fontId="30" fillId="0" borderId="10" xfId="0" applyFont="1" applyBorder="1" applyAlignment="1">
      <alignment horizontal="center" vertical="center"/>
    </xf>
    <xf numFmtId="0" fontId="30" fillId="0" borderId="42" xfId="0" applyFont="1" applyBorder="1" applyAlignment="1">
      <alignment horizontal="center" vertical="center"/>
    </xf>
    <xf numFmtId="0" fontId="32" fillId="0" borderId="37" xfId="0" applyFont="1" applyBorder="1" applyAlignment="1">
      <alignment horizontal="justify" vertical="center"/>
    </xf>
    <xf numFmtId="0" fontId="30" fillId="0" borderId="32" xfId="0" applyFont="1" applyBorder="1" applyAlignment="1">
      <alignment horizontal="center" vertical="center"/>
    </xf>
    <xf numFmtId="0" fontId="30" fillId="0" borderId="49" xfId="0" applyFont="1" applyBorder="1" applyAlignment="1">
      <alignment horizontal="center" vertical="center"/>
    </xf>
    <xf numFmtId="0" fontId="30" fillId="0" borderId="45" xfId="0" applyFont="1" applyBorder="1" applyAlignment="1">
      <alignment horizontal="center" vertical="center"/>
    </xf>
    <xf numFmtId="0" fontId="30" fillId="0" borderId="53" xfId="0" applyFont="1" applyBorder="1"/>
    <xf numFmtId="0" fontId="32" fillId="0" borderId="9" xfId="0" applyFont="1" applyBorder="1"/>
    <xf numFmtId="0" fontId="44" fillId="0" borderId="70" xfId="0" applyFont="1" applyBorder="1" applyAlignment="1">
      <alignment horizontal="center"/>
    </xf>
    <xf numFmtId="0" fontId="44" fillId="0" borderId="66" xfId="0" applyFont="1" applyBorder="1"/>
    <xf numFmtId="0" fontId="0" fillId="0" borderId="66" xfId="0" applyBorder="1"/>
    <xf numFmtId="0" fontId="44" fillId="0" borderId="67" xfId="0" applyFont="1" applyBorder="1"/>
    <xf numFmtId="43" fontId="0" fillId="0" borderId="66" xfId="0" applyNumberFormat="1" applyBorder="1"/>
    <xf numFmtId="43" fontId="0" fillId="0" borderId="66" xfId="2" applyFont="1" applyBorder="1"/>
    <xf numFmtId="43" fontId="44" fillId="0" borderId="66" xfId="2" applyFont="1" applyBorder="1"/>
    <xf numFmtId="43" fontId="44" fillId="0" borderId="67" xfId="0" applyNumberFormat="1" applyFont="1" applyBorder="1"/>
    <xf numFmtId="43" fontId="16" fillId="0" borderId="69" xfId="2" applyFont="1" applyBorder="1"/>
    <xf numFmtId="164" fontId="24" fillId="2" borderId="4" xfId="0" applyNumberFormat="1" applyFont="1" applyFill="1" applyBorder="1" applyAlignment="1">
      <alignment horizontal="center"/>
    </xf>
    <xf numFmtId="164" fontId="24" fillId="2" borderId="71" xfId="0" applyNumberFormat="1" applyFont="1" applyFill="1" applyBorder="1" applyAlignment="1">
      <alignment horizontal="center"/>
    </xf>
    <xf numFmtId="164" fontId="24" fillId="2" borderId="72" xfId="0" applyNumberFormat="1" applyFont="1" applyFill="1" applyBorder="1"/>
    <xf numFmtId="164" fontId="24" fillId="2" borderId="72" xfId="0" applyNumberFormat="1" applyFont="1" applyFill="1" applyBorder="1" applyAlignment="1">
      <alignment horizontal="center"/>
    </xf>
    <xf numFmtId="0" fontId="23" fillId="0" borderId="16" xfId="0" applyFont="1" applyFill="1" applyBorder="1" applyAlignment="1">
      <alignment horizontal="center" vertical="center"/>
    </xf>
    <xf numFmtId="43" fontId="17" fillId="6" borderId="70" xfId="3" applyFont="1" applyFill="1" applyBorder="1" applyAlignment="1">
      <alignment horizontal="center" vertical="center" wrapText="1"/>
    </xf>
    <xf numFmtId="0" fontId="25" fillId="0" borderId="16" xfId="0" applyFont="1" applyFill="1" applyBorder="1" applyAlignment="1">
      <alignment horizontal="center" vertical="center"/>
    </xf>
    <xf numFmtId="0" fontId="23" fillId="0" borderId="41" xfId="0" applyFont="1" applyFill="1" applyBorder="1" applyAlignment="1">
      <alignment horizontal="center" vertical="center"/>
    </xf>
    <xf numFmtId="0" fontId="22" fillId="0" borderId="51" xfId="0" applyFont="1" applyFill="1" applyBorder="1" applyAlignment="1">
      <alignment vertical="center"/>
    </xf>
    <xf numFmtId="0" fontId="23" fillId="0" borderId="51" xfId="0" applyFont="1" applyFill="1" applyBorder="1" applyAlignment="1">
      <alignment horizontal="center" vertical="center"/>
    </xf>
    <xf numFmtId="0" fontId="17" fillId="2" borderId="51" xfId="0" applyFont="1" applyFill="1" applyBorder="1" applyAlignment="1">
      <alignment horizontal="left"/>
    </xf>
    <xf numFmtId="0" fontId="16" fillId="0" borderId="35" xfId="0" applyFont="1" applyBorder="1"/>
    <xf numFmtId="0" fontId="32" fillId="0" borderId="13" xfId="0" applyFont="1" applyBorder="1" applyAlignment="1">
      <alignment horizontal="justify" vertical="center"/>
    </xf>
    <xf numFmtId="43" fontId="32" fillId="0" borderId="13" xfId="2" applyFont="1" applyBorder="1" applyAlignment="1">
      <alignment horizontal="justify" vertical="center"/>
    </xf>
    <xf numFmtId="0" fontId="32" fillId="0" borderId="19" xfId="0" applyFont="1" applyBorder="1" applyAlignment="1">
      <alignment horizontal="justify" vertical="center"/>
    </xf>
    <xf numFmtId="0" fontId="32" fillId="0" borderId="48" xfId="0" applyFont="1" applyBorder="1" applyAlignment="1">
      <alignment horizontal="justify" vertical="center"/>
    </xf>
    <xf numFmtId="0" fontId="37" fillId="2" borderId="0" xfId="0" applyFont="1" applyFill="1" applyBorder="1"/>
    <xf numFmtId="0" fontId="38" fillId="2" borderId="0" xfId="0" applyFont="1" applyFill="1" applyBorder="1" applyAlignment="1">
      <alignment horizontal="left"/>
    </xf>
    <xf numFmtId="43" fontId="33" fillId="2" borderId="32" xfId="2" applyFont="1" applyFill="1" applyBorder="1" applyAlignment="1">
      <alignment horizontal="center"/>
    </xf>
    <xf numFmtId="0" fontId="26" fillId="2" borderId="50" xfId="0" applyFont="1" applyFill="1" applyBorder="1"/>
    <xf numFmtId="43" fontId="34" fillId="2" borderId="32" xfId="0" applyNumberFormat="1" applyFont="1" applyFill="1" applyBorder="1"/>
    <xf numFmtId="43" fontId="39" fillId="2" borderId="0" xfId="0" applyNumberFormat="1" applyFont="1" applyFill="1" applyBorder="1"/>
    <xf numFmtId="43" fontId="37" fillId="2" borderId="0" xfId="0" applyNumberFormat="1" applyFont="1" applyFill="1" applyBorder="1"/>
    <xf numFmtId="0" fontId="37" fillId="2" borderId="0" xfId="0" applyFont="1" applyFill="1" applyBorder="1" applyProtection="1">
      <protection locked="0"/>
    </xf>
    <xf numFmtId="0" fontId="26" fillId="2" borderId="44" xfId="0" applyFont="1" applyFill="1" applyBorder="1"/>
    <xf numFmtId="43" fontId="32" fillId="2" borderId="64" xfId="2" applyFont="1" applyFill="1" applyBorder="1"/>
    <xf numFmtId="43" fontId="34" fillId="2" borderId="29" xfId="0" applyNumberFormat="1" applyFont="1" applyFill="1" applyBorder="1"/>
    <xf numFmtId="43" fontId="24" fillId="2" borderId="35" xfId="2" applyFont="1" applyFill="1" applyBorder="1"/>
    <xf numFmtId="43" fontId="33" fillId="2" borderId="50" xfId="2" applyFont="1" applyFill="1" applyBorder="1" applyAlignment="1">
      <alignment horizontal="center"/>
    </xf>
    <xf numFmtId="43" fontId="34" fillId="2" borderId="27" xfId="0" applyNumberFormat="1" applyFont="1" applyFill="1" applyBorder="1"/>
    <xf numFmtId="0" fontId="38" fillId="2" borderId="30" xfId="0" applyFont="1" applyFill="1" applyBorder="1" applyAlignment="1">
      <alignment horizontal="left"/>
    </xf>
    <xf numFmtId="0" fontId="37" fillId="2" borderId="50" xfId="0" applyFont="1" applyFill="1" applyBorder="1"/>
    <xf numFmtId="0" fontId="37" fillId="2" borderId="51" xfId="0" applyFont="1" applyFill="1" applyBorder="1"/>
    <xf numFmtId="43" fontId="37" fillId="2" borderId="51" xfId="2" applyFont="1" applyFill="1" applyBorder="1"/>
    <xf numFmtId="43" fontId="32" fillId="2" borderId="35" xfId="2" applyFont="1" applyFill="1" applyBorder="1"/>
    <xf numFmtId="0" fontId="26" fillId="2" borderId="51" xfId="0" applyFont="1" applyFill="1" applyBorder="1"/>
    <xf numFmtId="43" fontId="34" fillId="2" borderId="52" xfId="2" applyFont="1" applyFill="1" applyBorder="1"/>
    <xf numFmtId="43" fontId="34" fillId="2" borderId="67" xfId="2" applyFont="1" applyFill="1" applyBorder="1"/>
    <xf numFmtId="43" fontId="30" fillId="2" borderId="53" xfId="2" applyFont="1" applyFill="1" applyBorder="1"/>
    <xf numFmtId="43" fontId="38" fillId="2" borderId="51" xfId="2" applyFont="1" applyFill="1" applyBorder="1" applyAlignment="1">
      <alignment horizontal="center"/>
    </xf>
    <xf numFmtId="43" fontId="37" fillId="2" borderId="16" xfId="2" applyFont="1" applyFill="1" applyBorder="1"/>
    <xf numFmtId="43" fontId="34" fillId="2" borderId="29" xfId="2" applyFont="1" applyFill="1" applyBorder="1"/>
    <xf numFmtId="43" fontId="34" fillId="2" borderId="8" xfId="2" applyFont="1" applyFill="1" applyBorder="1"/>
    <xf numFmtId="164" fontId="30" fillId="2" borderId="27" xfId="0" applyNumberFormat="1" applyFont="1" applyFill="1" applyBorder="1"/>
    <xf numFmtId="0" fontId="37" fillId="2" borderId="0" xfId="0" applyFont="1" applyFill="1"/>
    <xf numFmtId="0" fontId="17" fillId="2" borderId="0" xfId="0" applyFont="1" applyFill="1" applyAlignment="1">
      <alignment horizontal="center"/>
    </xf>
    <xf numFmtId="0" fontId="16" fillId="2" borderId="0" xfId="0" applyFont="1" applyFill="1" applyBorder="1" applyAlignment="1">
      <alignment horizontal="right"/>
    </xf>
    <xf numFmtId="43" fontId="30" fillId="2" borderId="0" xfId="2" applyFont="1" applyFill="1" applyBorder="1"/>
    <xf numFmtId="43" fontId="30" fillId="0" borderId="0" xfId="2" applyFont="1" applyFill="1" applyBorder="1"/>
    <xf numFmtId="39" fontId="26" fillId="2" borderId="51" xfId="2" applyNumberFormat="1" applyFont="1" applyFill="1" applyBorder="1" applyAlignment="1">
      <alignment horizontal="right"/>
    </xf>
    <xf numFmtId="0" fontId="17" fillId="0" borderId="8" xfId="0" applyFont="1" applyFill="1" applyBorder="1"/>
    <xf numFmtId="39" fontId="26" fillId="2" borderId="27" xfId="2" applyNumberFormat="1" applyFont="1" applyFill="1" applyBorder="1" applyAlignment="1">
      <alignment horizontal="right"/>
    </xf>
    <xf numFmtId="43" fontId="26" fillId="2" borderId="60" xfId="2" applyFont="1" applyFill="1" applyBorder="1" applyAlignment="1"/>
    <xf numFmtId="165" fontId="32" fillId="2" borderId="0" xfId="1" applyFont="1" applyFill="1" applyBorder="1"/>
    <xf numFmtId="43" fontId="17" fillId="7" borderId="62" xfId="2" applyFont="1" applyFill="1" applyBorder="1" applyAlignment="1">
      <alignment horizontal="right"/>
    </xf>
    <xf numFmtId="43" fontId="17" fillId="7" borderId="34" xfId="2" applyFont="1" applyFill="1" applyBorder="1" applyAlignment="1">
      <alignment horizontal="right"/>
    </xf>
    <xf numFmtId="0" fontId="28" fillId="6" borderId="5" xfId="0" applyFont="1" applyFill="1" applyBorder="1" applyAlignment="1">
      <alignment horizontal="center" wrapText="1"/>
    </xf>
    <xf numFmtId="0" fontId="28" fillId="6" borderId="6" xfId="0" applyFont="1" applyFill="1" applyBorder="1" applyAlignment="1">
      <alignment horizontal="center" wrapText="1"/>
    </xf>
    <xf numFmtId="0" fontId="28" fillId="6" borderId="43" xfId="0" applyFont="1" applyFill="1" applyBorder="1" applyAlignment="1">
      <alignment horizontal="center" wrapText="1"/>
    </xf>
    <xf numFmtId="0" fontId="28" fillId="6" borderId="16" xfId="0" applyFont="1" applyFill="1" applyBorder="1" applyAlignment="1">
      <alignment horizontal="center" wrapText="1"/>
    </xf>
    <xf numFmtId="0" fontId="28" fillId="6" borderId="0" xfId="0" applyFont="1" applyFill="1" applyBorder="1" applyAlignment="1">
      <alignment horizontal="center" wrapText="1"/>
    </xf>
    <xf numFmtId="0" fontId="28" fillId="6" borderId="61" xfId="0" applyFont="1" applyFill="1" applyBorder="1" applyAlignment="1">
      <alignment horizontal="center" wrapText="1"/>
    </xf>
    <xf numFmtId="43" fontId="17" fillId="7" borderId="29" xfId="2" applyFont="1" applyFill="1" applyBorder="1" applyAlignment="1">
      <alignment horizontal="right"/>
    </xf>
    <xf numFmtId="43" fontId="17" fillId="7" borderId="29" xfId="2" applyFont="1" applyFill="1" applyBorder="1" applyAlignment="1">
      <alignment horizontal="center"/>
    </xf>
    <xf numFmtId="43" fontId="17" fillId="7" borderId="62" xfId="2" applyFont="1" applyFill="1" applyBorder="1" applyAlignment="1">
      <alignment horizontal="center"/>
    </xf>
    <xf numFmtId="0" fontId="17" fillId="6" borderId="50" xfId="0" applyFont="1" applyFill="1" applyBorder="1" applyAlignment="1">
      <alignment horizontal="center" vertical="center"/>
    </xf>
    <xf numFmtId="0" fontId="17" fillId="6" borderId="51" xfId="0" applyFont="1" applyFill="1" applyBorder="1" applyAlignment="1">
      <alignment horizontal="center" vertical="center"/>
    </xf>
    <xf numFmtId="0" fontId="17" fillId="6" borderId="35" xfId="0" applyFont="1" applyFill="1" applyBorder="1" applyAlignment="1">
      <alignment horizontal="center" vertical="center"/>
    </xf>
    <xf numFmtId="0" fontId="16" fillId="0" borderId="0" xfId="0" applyFont="1" applyBorder="1" applyAlignment="1">
      <alignment horizontal="center"/>
    </xf>
    <xf numFmtId="0" fontId="17" fillId="7" borderId="29" xfId="0" applyFont="1" applyFill="1" applyBorder="1" applyAlignment="1">
      <alignment horizontal="center"/>
    </xf>
    <xf numFmtId="0" fontId="17" fillId="7" borderId="30" xfId="0" applyFont="1" applyFill="1" applyBorder="1" applyAlignment="1">
      <alignment horizontal="center"/>
    </xf>
    <xf numFmtId="0" fontId="17" fillId="7" borderId="31" xfId="0" applyFont="1" applyFill="1" applyBorder="1" applyAlignment="1">
      <alignment horizontal="center"/>
    </xf>
    <xf numFmtId="43" fontId="16" fillId="7" borderId="29" xfId="2" applyFont="1" applyFill="1" applyBorder="1" applyAlignment="1">
      <alignment horizontal="center"/>
    </xf>
    <xf numFmtId="43" fontId="16" fillId="7" borderId="30" xfId="2" applyFont="1" applyFill="1" applyBorder="1" applyAlignment="1">
      <alignment horizontal="center"/>
    </xf>
    <xf numFmtId="43" fontId="16" fillId="7" borderId="31" xfId="2" applyFont="1" applyFill="1" applyBorder="1" applyAlignment="1">
      <alignment horizontal="center"/>
    </xf>
    <xf numFmtId="0" fontId="28" fillId="6" borderId="29" xfId="0" applyFont="1" applyFill="1" applyBorder="1" applyAlignment="1">
      <alignment horizontal="center" wrapText="1"/>
    </xf>
    <xf numFmtId="0" fontId="28" fillId="6" borderId="30" xfId="0" applyFont="1" applyFill="1" applyBorder="1" applyAlignment="1">
      <alignment horizontal="center" wrapText="1"/>
    </xf>
    <xf numFmtId="0" fontId="28" fillId="6" borderId="31" xfId="0" applyFont="1" applyFill="1" applyBorder="1" applyAlignment="1">
      <alignment horizontal="center" wrapText="1"/>
    </xf>
    <xf numFmtId="0" fontId="28" fillId="6" borderId="7" xfId="0" applyFont="1" applyFill="1" applyBorder="1" applyAlignment="1">
      <alignment horizontal="center" wrapText="1"/>
    </xf>
    <xf numFmtId="0" fontId="17" fillId="7" borderId="29" xfId="0" applyFont="1" applyFill="1" applyBorder="1" applyAlignment="1">
      <alignment horizontal="right"/>
    </xf>
    <xf numFmtId="0" fontId="17" fillId="7" borderId="31" xfId="0" applyFont="1" applyFill="1" applyBorder="1" applyAlignment="1">
      <alignment horizontal="right"/>
    </xf>
    <xf numFmtId="0" fontId="16" fillId="0" borderId="4" xfId="0" applyFont="1" applyBorder="1" applyAlignment="1">
      <alignment horizontal="center"/>
    </xf>
    <xf numFmtId="0" fontId="16" fillId="6" borderId="29" xfId="0" applyFont="1" applyFill="1" applyBorder="1" applyAlignment="1">
      <alignment horizontal="center"/>
    </xf>
    <xf numFmtId="0" fontId="16" fillId="6" borderId="30" xfId="0" applyFont="1" applyFill="1" applyBorder="1" applyAlignment="1">
      <alignment horizontal="center"/>
    </xf>
    <xf numFmtId="0" fontId="16" fillId="6" borderId="31" xfId="0" applyFont="1" applyFill="1" applyBorder="1" applyAlignment="1">
      <alignment horizontal="center"/>
    </xf>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0" fontId="28" fillId="6" borderId="17" xfId="0" applyFont="1" applyFill="1" applyBorder="1" applyAlignment="1">
      <alignment horizontal="center" wrapText="1"/>
    </xf>
    <xf numFmtId="0" fontId="28" fillId="6" borderId="8" xfId="0" applyFont="1" applyFill="1" applyBorder="1" applyAlignment="1">
      <alignment horizontal="center" wrapText="1"/>
    </xf>
    <xf numFmtId="0" fontId="28" fillId="6" borderId="4" xfId="0" applyFont="1" applyFill="1" applyBorder="1" applyAlignment="1">
      <alignment horizontal="center" wrapText="1"/>
    </xf>
    <xf numFmtId="0" fontId="28" fillId="6" borderId="9" xfId="0" applyFont="1" applyFill="1" applyBorder="1" applyAlignment="1">
      <alignment horizontal="center" wrapText="1"/>
    </xf>
    <xf numFmtId="43" fontId="16" fillId="0" borderId="29" xfId="2" applyFont="1" applyBorder="1" applyAlignment="1">
      <alignment horizontal="center"/>
    </xf>
    <xf numFmtId="43" fontId="16" fillId="0" borderId="30" xfId="2" applyFont="1" applyBorder="1" applyAlignment="1">
      <alignment horizontal="center"/>
    </xf>
    <xf numFmtId="43" fontId="16" fillId="0" borderId="31" xfId="2" applyFont="1" applyBorder="1" applyAlignment="1">
      <alignment horizontal="center"/>
    </xf>
    <xf numFmtId="43" fontId="21" fillId="5" borderId="29" xfId="2" applyFont="1" applyFill="1" applyBorder="1" applyAlignment="1">
      <alignment horizontal="center" wrapText="1"/>
    </xf>
    <xf numFmtId="43" fontId="21" fillId="5" borderId="30" xfId="2" applyFont="1" applyFill="1" applyBorder="1" applyAlignment="1">
      <alignment horizontal="center"/>
    </xf>
    <xf numFmtId="43" fontId="21" fillId="5" borderId="31" xfId="2" applyFont="1" applyFill="1" applyBorder="1" applyAlignment="1">
      <alignment horizontal="center"/>
    </xf>
    <xf numFmtId="43" fontId="17" fillId="0" borderId="29" xfId="2" applyFont="1" applyBorder="1" applyAlignment="1">
      <alignment horizontal="center"/>
    </xf>
    <xf numFmtId="43" fontId="17" fillId="0" borderId="30" xfId="2" applyFont="1" applyBorder="1" applyAlignment="1">
      <alignment horizontal="center"/>
    </xf>
    <xf numFmtId="43" fontId="17" fillId="0" borderId="31" xfId="2" applyFont="1" applyBorder="1" applyAlignment="1">
      <alignment horizontal="center"/>
    </xf>
    <xf numFmtId="0" fontId="29" fillId="0" borderId="29" xfId="0" applyFont="1" applyFill="1" applyBorder="1" applyAlignment="1">
      <alignment horizontal="center"/>
    </xf>
    <xf numFmtId="0" fontId="29" fillId="0" borderId="30" xfId="0" applyFont="1" applyFill="1" applyBorder="1" applyAlignment="1">
      <alignment horizontal="center"/>
    </xf>
    <xf numFmtId="0" fontId="29" fillId="0" borderId="31" xfId="0" applyFont="1" applyFill="1" applyBorder="1" applyAlignment="1">
      <alignment horizontal="center"/>
    </xf>
    <xf numFmtId="43" fontId="17" fillId="0" borderId="29" xfId="2" applyFont="1" applyFill="1" applyBorder="1" applyAlignment="1">
      <alignment horizontal="center"/>
    </xf>
    <xf numFmtId="43" fontId="17" fillId="0" borderId="30" xfId="2" applyFont="1" applyFill="1" applyBorder="1" applyAlignment="1">
      <alignment horizontal="center"/>
    </xf>
    <xf numFmtId="43" fontId="17" fillId="0" borderId="31" xfId="2" applyFont="1" applyFill="1" applyBorder="1" applyAlignment="1">
      <alignment horizontal="center"/>
    </xf>
    <xf numFmtId="165" fontId="2" fillId="0" borderId="0" xfId="1" applyFont="1" applyBorder="1" applyAlignment="1">
      <alignment horizontal="right"/>
    </xf>
    <xf numFmtId="165" fontId="2" fillId="0" borderId="0" xfId="1" applyFont="1" applyBorder="1" applyAlignment="1">
      <alignment horizontal="center"/>
    </xf>
    <xf numFmtId="165" fontId="2" fillId="0" borderId="0" xfId="1" applyFont="1" applyAlignment="1">
      <alignment horizontal="right"/>
    </xf>
    <xf numFmtId="165" fontId="2" fillId="0" borderId="0" xfId="1" applyFont="1" applyBorder="1" applyAlignment="1">
      <alignment horizontal="center" wrapText="1"/>
    </xf>
    <xf numFmtId="0" fontId="16" fillId="0" borderId="74" xfId="0" applyFont="1" applyBorder="1" applyAlignment="1">
      <alignment vertical="top" wrapText="1"/>
    </xf>
    <xf numFmtId="0" fontId="16" fillId="0" borderId="75" xfId="0" applyFont="1" applyBorder="1" applyAlignment="1">
      <alignment vertical="top" wrapText="1"/>
    </xf>
    <xf numFmtId="0" fontId="16" fillId="0" borderId="76" xfId="0" applyFont="1" applyBorder="1" applyAlignment="1">
      <alignment vertical="top" wrapText="1"/>
    </xf>
    <xf numFmtId="0" fontId="20" fillId="6" borderId="29" xfId="0" applyFont="1" applyFill="1" applyBorder="1" applyAlignment="1">
      <alignment horizontal="center" vertical="center"/>
    </xf>
    <xf numFmtId="0" fontId="20" fillId="6" borderId="30" xfId="0" applyFont="1" applyFill="1" applyBorder="1" applyAlignment="1">
      <alignment horizontal="center" vertical="center"/>
    </xf>
    <xf numFmtId="0" fontId="20" fillId="6" borderId="31" xfId="0" applyFont="1" applyFill="1" applyBorder="1" applyAlignment="1">
      <alignment horizontal="center" vertical="center"/>
    </xf>
    <xf numFmtId="0" fontId="16" fillId="0" borderId="16" xfId="0" applyFont="1" applyFill="1" applyBorder="1" applyAlignment="1">
      <alignment horizontal="justify" vertical="top" wrapText="1"/>
    </xf>
    <xf numFmtId="0" fontId="16" fillId="0" borderId="0" xfId="0" applyFont="1" applyFill="1" applyBorder="1" applyAlignment="1">
      <alignment horizontal="justify" vertical="top" wrapText="1"/>
    </xf>
    <xf numFmtId="0" fontId="16" fillId="0" borderId="17" xfId="0" applyFont="1" applyFill="1" applyBorder="1" applyAlignment="1">
      <alignment horizontal="justify" vertical="top" wrapText="1"/>
    </xf>
    <xf numFmtId="0" fontId="16" fillId="0" borderId="8"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16" fillId="0" borderId="9" xfId="0" applyFont="1" applyFill="1" applyBorder="1" applyAlignment="1">
      <alignment horizontal="justify" vertical="top" wrapText="1"/>
    </xf>
    <xf numFmtId="0" fontId="17" fillId="0" borderId="51" xfId="0" applyFont="1" applyFill="1" applyBorder="1" applyAlignment="1">
      <alignment vertical="top"/>
    </xf>
    <xf numFmtId="0" fontId="17" fillId="0" borderId="35" xfId="0" applyFont="1" applyFill="1" applyBorder="1" applyAlignment="1">
      <alignment vertical="top"/>
    </xf>
    <xf numFmtId="0" fontId="16" fillId="0" borderId="14" xfId="0" applyFont="1" applyBorder="1" applyAlignment="1">
      <alignment vertical="top" wrapText="1"/>
    </xf>
    <xf numFmtId="0" fontId="16" fillId="0" borderId="73" xfId="0" applyFont="1" applyBorder="1" applyAlignment="1">
      <alignment vertical="top" wrapText="1"/>
    </xf>
    <xf numFmtId="0" fontId="16" fillId="0" borderId="38" xfId="0" applyFont="1" applyBorder="1" applyAlignment="1">
      <alignment vertical="top" wrapText="1"/>
    </xf>
    <xf numFmtId="0" fontId="17" fillId="6" borderId="32" xfId="0" applyFont="1" applyFill="1" applyBorder="1" applyAlignment="1">
      <alignment horizontal="left" vertical="top"/>
    </xf>
    <xf numFmtId="0" fontId="17" fillId="6" borderId="33" xfId="0" applyFont="1" applyFill="1" applyBorder="1" applyAlignment="1">
      <alignment horizontal="left" vertical="top"/>
    </xf>
    <xf numFmtId="0" fontId="17" fillId="6" borderId="34" xfId="0" applyFont="1" applyFill="1" applyBorder="1" applyAlignment="1">
      <alignment horizontal="left" vertical="top"/>
    </xf>
    <xf numFmtId="0" fontId="45" fillId="6" borderId="8" xfId="0" applyFont="1" applyFill="1" applyBorder="1" applyAlignment="1">
      <alignment horizontal="left"/>
    </xf>
    <xf numFmtId="0" fontId="45" fillId="6" borderId="4" xfId="0" applyFont="1" applyFill="1" applyBorder="1" applyAlignment="1">
      <alignment horizontal="left"/>
    </xf>
    <xf numFmtId="0" fontId="45" fillId="6" borderId="9" xfId="0" applyFont="1" applyFill="1" applyBorder="1" applyAlignment="1">
      <alignment horizontal="left"/>
    </xf>
    <xf numFmtId="0" fontId="16" fillId="2" borderId="14" xfId="0" applyFont="1" applyFill="1" applyBorder="1" applyAlignment="1">
      <alignment horizontal="left" vertical="top" wrapText="1"/>
    </xf>
    <xf numFmtId="0" fontId="16" fillId="2" borderId="73" xfId="0" applyFont="1" applyFill="1" applyBorder="1" applyAlignment="1">
      <alignment horizontal="left" vertical="top" wrapText="1"/>
    </xf>
    <xf numFmtId="0" fontId="16" fillId="2" borderId="38" xfId="0" applyFont="1" applyFill="1" applyBorder="1" applyAlignment="1">
      <alignment horizontal="left" vertical="top" wrapText="1"/>
    </xf>
    <xf numFmtId="0" fontId="17" fillId="6" borderId="32" xfId="0" applyFont="1" applyFill="1" applyBorder="1" applyAlignment="1">
      <alignment horizontal="left" vertical="top" wrapText="1"/>
    </xf>
    <xf numFmtId="0" fontId="17" fillId="6" borderId="33" xfId="0" applyFont="1" applyFill="1" applyBorder="1" applyAlignment="1">
      <alignment horizontal="left" vertical="top" wrapText="1"/>
    </xf>
    <xf numFmtId="0" fontId="17" fillId="6" borderId="34" xfId="0" applyFont="1" applyFill="1" applyBorder="1" applyAlignment="1">
      <alignment horizontal="left" vertical="top" wrapText="1"/>
    </xf>
    <xf numFmtId="43" fontId="17" fillId="6" borderId="33" xfId="2" applyFont="1" applyFill="1" applyBorder="1" applyAlignment="1">
      <alignment horizontal="right"/>
    </xf>
    <xf numFmtId="43" fontId="17" fillId="6" borderId="34" xfId="2" applyFont="1" applyFill="1" applyBorder="1" applyAlignment="1">
      <alignment horizontal="right"/>
    </xf>
    <xf numFmtId="0" fontId="43" fillId="6" borderId="29" xfId="0" applyFont="1" applyFill="1" applyBorder="1" applyAlignment="1">
      <alignment horizontal="center"/>
    </xf>
    <xf numFmtId="0" fontId="43" fillId="6" borderId="30" xfId="0" applyFont="1" applyFill="1" applyBorder="1" applyAlignment="1">
      <alignment horizontal="center"/>
    </xf>
    <xf numFmtId="0" fontId="43" fillId="6" borderId="31" xfId="0" applyFont="1" applyFill="1" applyBorder="1" applyAlignment="1">
      <alignment horizontal="center"/>
    </xf>
    <xf numFmtId="0" fontId="17" fillId="0" borderId="29"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0" borderId="31" xfId="0" applyFont="1" applyFill="1" applyBorder="1" applyAlignment="1">
      <alignment horizontal="left" vertical="top" wrapText="1"/>
    </xf>
    <xf numFmtId="0" fontId="16" fillId="0" borderId="0" xfId="0" applyFont="1" applyFill="1" applyAlignment="1">
      <alignment horizontal="center"/>
    </xf>
    <xf numFmtId="0" fontId="30" fillId="7" borderId="29" xfId="0" applyFont="1" applyFill="1" applyBorder="1" applyAlignment="1"/>
    <xf numFmtId="0" fontId="30" fillId="7" borderId="30" xfId="0" applyFont="1" applyFill="1" applyBorder="1" applyAlignment="1"/>
    <xf numFmtId="0" fontId="30" fillId="7" borderId="31" xfId="0" applyFont="1" applyFill="1" applyBorder="1" applyAlignment="1"/>
    <xf numFmtId="0" fontId="32" fillId="0" borderId="29" xfId="0" applyFont="1" applyBorder="1" applyAlignment="1">
      <alignment vertical="top" wrapText="1"/>
    </xf>
    <xf numFmtId="0" fontId="32" fillId="0" borderId="30" xfId="0" applyFont="1" applyBorder="1" applyAlignment="1">
      <alignment vertical="top" wrapText="1"/>
    </xf>
    <xf numFmtId="0" fontId="32" fillId="0" borderId="31" xfId="0" applyFont="1" applyBorder="1" applyAlignment="1">
      <alignment vertical="top" wrapText="1"/>
    </xf>
    <xf numFmtId="0" fontId="30" fillId="7" borderId="29" xfId="0" applyFont="1" applyFill="1" applyBorder="1" applyAlignment="1">
      <alignment horizontal="left"/>
    </xf>
    <xf numFmtId="0" fontId="30" fillId="7" borderId="30" xfId="0" applyFont="1" applyFill="1" applyBorder="1" applyAlignment="1">
      <alignment horizontal="left"/>
    </xf>
    <xf numFmtId="0" fontId="30" fillId="7" borderId="31" xfId="0" applyFont="1" applyFill="1" applyBorder="1" applyAlignment="1">
      <alignment horizontal="left"/>
    </xf>
    <xf numFmtId="0" fontId="16" fillId="0" borderId="0" xfId="0" applyFont="1" applyFill="1" applyAlignment="1">
      <alignment horizontal="left" vertical="top"/>
    </xf>
    <xf numFmtId="0" fontId="33" fillId="6" borderId="29" xfId="0" applyFont="1" applyFill="1" applyBorder="1" applyAlignment="1">
      <alignment horizontal="center"/>
    </xf>
    <xf numFmtId="0" fontId="33" fillId="6" borderId="30" xfId="0" applyFont="1" applyFill="1" applyBorder="1" applyAlignment="1">
      <alignment horizontal="center"/>
    </xf>
    <xf numFmtId="0" fontId="33" fillId="6" borderId="62" xfId="0" applyFont="1" applyFill="1" applyBorder="1" applyAlignment="1">
      <alignment horizontal="center"/>
    </xf>
    <xf numFmtId="0" fontId="32" fillId="0" borderId="29" xfId="0" applyFont="1" applyBorder="1" applyAlignment="1">
      <alignment horizontal="left" vertical="top" wrapText="1"/>
    </xf>
    <xf numFmtId="0" fontId="32" fillId="0" borderId="30" xfId="0" applyFont="1" applyBorder="1" applyAlignment="1">
      <alignment horizontal="left" vertical="top" wrapText="1"/>
    </xf>
    <xf numFmtId="0" fontId="32" fillId="0" borderId="31" xfId="0" applyFont="1" applyBorder="1" applyAlignment="1">
      <alignment horizontal="left" vertical="top" wrapText="1"/>
    </xf>
    <xf numFmtId="0" fontId="30" fillId="7" borderId="18" xfId="0" applyFont="1" applyFill="1" applyBorder="1" applyAlignment="1"/>
    <xf numFmtId="0" fontId="30" fillId="7" borderId="2" xfId="0" applyFont="1" applyFill="1" applyBorder="1" applyAlignment="1"/>
    <xf numFmtId="0" fontId="30" fillId="7" borderId="23" xfId="0" applyFont="1" applyFill="1" applyBorder="1" applyAlignment="1"/>
    <xf numFmtId="0" fontId="30" fillId="0" borderId="29" xfId="0" applyFont="1" applyBorder="1"/>
    <xf numFmtId="0" fontId="30" fillId="0" borderId="30" xfId="0" applyFont="1" applyBorder="1"/>
    <xf numFmtId="0" fontId="30" fillId="0" borderId="31" xfId="0" applyFont="1" applyBorder="1"/>
    <xf numFmtId="0" fontId="32" fillId="0" borderId="16" xfId="0" applyFont="1" applyBorder="1" applyAlignment="1">
      <alignment horizontal="left"/>
    </xf>
    <xf numFmtId="0" fontId="32" fillId="0" borderId="0" xfId="0" applyFont="1" applyBorder="1" applyAlignment="1">
      <alignment horizontal="left"/>
    </xf>
    <xf numFmtId="0" fontId="32" fillId="0" borderId="17" xfId="0" applyFont="1" applyBorder="1" applyAlignment="1">
      <alignment horizontal="left"/>
    </xf>
    <xf numFmtId="0" fontId="30" fillId="0" borderId="45" xfId="0" applyFont="1" applyBorder="1" applyAlignment="1">
      <alignment horizontal="center" vertical="center"/>
    </xf>
    <xf numFmtId="0" fontId="32" fillId="0" borderId="13" xfId="0" applyFont="1" applyBorder="1" applyAlignment="1">
      <alignment horizontal="justify" vertical="center"/>
    </xf>
    <xf numFmtId="43" fontId="32" fillId="0" borderId="13" xfId="2" applyFont="1" applyBorder="1" applyAlignment="1">
      <alignment horizontal="justify" vertical="center"/>
    </xf>
    <xf numFmtId="0" fontId="30" fillId="0" borderId="57"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33" xfId="0" applyFont="1" applyBorder="1" applyAlignment="1">
      <alignment horizontal="justify" vertical="center"/>
    </xf>
    <xf numFmtId="0" fontId="30" fillId="0" borderId="34" xfId="0" applyFont="1" applyBorder="1" applyAlignment="1">
      <alignment horizontal="justify" vertical="center"/>
    </xf>
    <xf numFmtId="0" fontId="30" fillId="6" borderId="4" xfId="0" applyFont="1" applyFill="1" applyBorder="1" applyAlignment="1">
      <alignment horizontal="left"/>
    </xf>
    <xf numFmtId="0" fontId="32" fillId="7" borderId="29" xfId="0" applyFont="1" applyFill="1" applyBorder="1" applyAlignment="1">
      <alignment horizontal="left" vertical="top" wrapText="1"/>
    </xf>
    <xf numFmtId="0" fontId="32" fillId="7" borderId="30" xfId="0" applyFont="1" applyFill="1" applyBorder="1" applyAlignment="1">
      <alignment horizontal="left" vertical="top" wrapText="1"/>
    </xf>
    <xf numFmtId="0" fontId="32" fillId="7" borderId="31" xfId="0" applyFont="1" applyFill="1" applyBorder="1" applyAlignment="1">
      <alignment horizontal="left" vertical="top" wrapText="1"/>
    </xf>
    <xf numFmtId="0" fontId="32" fillId="0" borderId="16" xfId="0" applyFont="1" applyBorder="1" applyAlignment="1">
      <alignment horizontal="left" vertical="top" wrapText="1"/>
    </xf>
    <xf numFmtId="0" fontId="32" fillId="0" borderId="0" xfId="0" applyFont="1" applyBorder="1" applyAlignment="1">
      <alignment horizontal="left" vertical="top" wrapText="1"/>
    </xf>
    <xf numFmtId="0" fontId="32" fillId="0" borderId="17" xfId="0" applyFont="1" applyBorder="1" applyAlignment="1">
      <alignment horizontal="left" vertical="top" wrapText="1"/>
    </xf>
    <xf numFmtId="0" fontId="32" fillId="6" borderId="29" xfId="0" applyFont="1" applyFill="1" applyBorder="1" applyAlignment="1">
      <alignment horizontal="left" vertical="top" wrapText="1"/>
    </xf>
    <xf numFmtId="0" fontId="32" fillId="6" borderId="30" xfId="0" applyFont="1" applyFill="1" applyBorder="1" applyAlignment="1">
      <alignment horizontal="left" vertical="top" wrapText="1"/>
    </xf>
    <xf numFmtId="0" fontId="32" fillId="6" borderId="31" xfId="0" applyFont="1" applyFill="1" applyBorder="1" applyAlignment="1">
      <alignment horizontal="left" vertical="top" wrapText="1"/>
    </xf>
    <xf numFmtId="0" fontId="30" fillId="6" borderId="29" xfId="0" applyFont="1" applyFill="1" applyBorder="1" applyAlignment="1">
      <alignment horizontal="left"/>
    </xf>
    <xf numFmtId="0" fontId="30" fillId="6" borderId="30" xfId="0" applyFont="1" applyFill="1" applyBorder="1" applyAlignment="1">
      <alignment horizontal="left"/>
    </xf>
    <xf numFmtId="0" fontId="30" fillId="6" borderId="31" xfId="0" applyFont="1" applyFill="1" applyBorder="1" applyAlignment="1">
      <alignment horizontal="left"/>
    </xf>
    <xf numFmtId="0" fontId="32" fillId="0" borderId="30" xfId="0" applyFont="1" applyBorder="1" applyAlignment="1">
      <alignment horizontal="left" vertical="top"/>
    </xf>
    <xf numFmtId="0" fontId="32" fillId="0" borderId="31" xfId="0" applyFont="1" applyBorder="1" applyAlignment="1">
      <alignment horizontal="left" vertical="top"/>
    </xf>
    <xf numFmtId="0" fontId="32" fillId="0" borderId="49" xfId="0" applyFont="1" applyBorder="1" applyAlignment="1">
      <alignment horizontal="justify" vertical="center"/>
    </xf>
    <xf numFmtId="0" fontId="32" fillId="0" borderId="45" xfId="0" applyFont="1" applyBorder="1" applyAlignment="1">
      <alignment horizontal="justify" vertical="center"/>
    </xf>
    <xf numFmtId="0" fontId="32" fillId="0" borderId="47" xfId="0" applyFont="1" applyBorder="1" applyAlignment="1">
      <alignment horizontal="justify" vertical="center"/>
    </xf>
    <xf numFmtId="0" fontId="32" fillId="0" borderId="19" xfId="0" applyFont="1" applyBorder="1" applyAlignment="1">
      <alignment horizontal="justify" vertical="center"/>
    </xf>
    <xf numFmtId="0" fontId="32" fillId="0" borderId="48" xfId="0" applyFont="1" applyBorder="1" applyAlignment="1">
      <alignment horizontal="justify" vertical="center"/>
    </xf>
    <xf numFmtId="0" fontId="44" fillId="6" borderId="5" xfId="0" applyFont="1" applyFill="1" applyBorder="1" applyAlignment="1">
      <alignment horizontal="center"/>
    </xf>
    <xf numFmtId="0" fontId="44" fillId="6" borderId="7" xfId="0" applyFont="1" applyFill="1" applyBorder="1" applyAlignment="1">
      <alignment horizontal="center"/>
    </xf>
    <xf numFmtId="0" fontId="44" fillId="0" borderId="4" xfId="0" applyFont="1" applyBorder="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43" xfId="0" applyFont="1" applyBorder="1" applyAlignment="1">
      <alignment horizontal="center"/>
    </xf>
    <xf numFmtId="0" fontId="17" fillId="0" borderId="44" xfId="0" applyFont="1" applyBorder="1" applyAlignment="1">
      <alignment horizontal="center"/>
    </xf>
    <xf numFmtId="0" fontId="17" fillId="0" borderId="7" xfId="0" applyFont="1" applyBorder="1" applyAlignment="1">
      <alignment horizontal="center"/>
    </xf>
    <xf numFmtId="0" fontId="21" fillId="5" borderId="29" xfId="0" applyFont="1" applyFill="1" applyBorder="1" applyAlignment="1">
      <alignment horizontal="center"/>
    </xf>
    <xf numFmtId="0" fontId="21" fillId="5" borderId="30" xfId="0" applyFont="1" applyFill="1" applyBorder="1" applyAlignment="1">
      <alignment horizontal="center"/>
    </xf>
    <xf numFmtId="0" fontId="21" fillId="5" borderId="31" xfId="0" applyFont="1" applyFill="1" applyBorder="1" applyAlignment="1">
      <alignment horizontal="center"/>
    </xf>
  </cellXfs>
  <cellStyles count="13">
    <cellStyle name="Comma" xfId="2" builtinId="3"/>
    <cellStyle name="Comma 2" xfId="1"/>
    <cellStyle name="Comma 2 2" xfId="4"/>
    <cellStyle name="Comma 2 3" xfId="6"/>
    <cellStyle name="Comma 3" xfId="3"/>
    <cellStyle name="Hyperlink" xfId="5" builtinId="8"/>
    <cellStyle name="Normal" xfId="0" builtinId="0"/>
    <cellStyle name="Normal 2" xfId="7"/>
    <cellStyle name="Normal 3" xfId="8"/>
    <cellStyle name="Normal 4" xfId="9"/>
    <cellStyle name="Normal 5" xfId="10"/>
    <cellStyle name="Normal 7" xfId="11"/>
    <cellStyle name="Percent" xfId="1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lance%20sheet\BS_31.12.2015\RAW\BSheet-P&amp;L%20-Dec,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alance%20sheet\BS_31.12.2015\Balancesheet_Financial%20Stt_31.12.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BSheet-P&amp;L-Schedules-September%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alance%20sheet\BS_31.12.2015\PNB_RBI\FIN_Div_BS_31122015\Balancesheet_Financial%20Stt_31.12.2015_ChangeAs%20Per_RB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alance%20sheet\2016\30.09.2016\RMA\BSheet-P&amp;L-Schedules-Jul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heet-DPNB31032015"/>
      <sheetName val="P&amp;L-DPNBL"/>
      <sheetName val="Finacle Status of BSheet"/>
      <sheetName val="Tallying of Balance Sheet"/>
      <sheetName val="Finacle"/>
      <sheetName val="Cash_Bank"/>
      <sheetName val="BS_ALL"/>
    </sheetNames>
    <sheetDataSet>
      <sheetData sheetId="0"/>
      <sheetData sheetId="1"/>
      <sheetData sheetId="2"/>
      <sheetData sheetId="3"/>
      <sheetData sheetId="4">
        <row r="5">
          <cell r="C5">
            <v>685750800</v>
          </cell>
        </row>
        <row r="7">
          <cell r="C7">
            <v>125991569.48</v>
          </cell>
        </row>
        <row r="8">
          <cell r="C8">
            <v>1334734247.8299999</v>
          </cell>
        </row>
        <row r="10">
          <cell r="C10">
            <v>2854930255.23</v>
          </cell>
        </row>
        <row r="11">
          <cell r="C11">
            <v>2385884342.5900002</v>
          </cell>
        </row>
        <row r="12">
          <cell r="C12">
            <v>187851886</v>
          </cell>
        </row>
        <row r="17">
          <cell r="C17">
            <v>33361925.350000001</v>
          </cell>
        </row>
        <row r="18">
          <cell r="C18">
            <v>23759203.140000001</v>
          </cell>
        </row>
        <row r="19">
          <cell r="C19">
            <v>57121128.490000002</v>
          </cell>
        </row>
        <row r="23">
          <cell r="C23">
            <v>122903134.56999999</v>
          </cell>
        </row>
        <row r="25">
          <cell r="C25">
            <v>5222845.33</v>
          </cell>
        </row>
        <row r="28">
          <cell r="C28">
            <v>174091.5</v>
          </cell>
        </row>
        <row r="30">
          <cell r="C30">
            <v>5671840</v>
          </cell>
        </row>
        <row r="33">
          <cell r="C33">
            <v>26143923.75</v>
          </cell>
        </row>
        <row r="34">
          <cell r="C34">
            <v>90829369</v>
          </cell>
        </row>
        <row r="37">
          <cell r="C37">
            <v>86400000</v>
          </cell>
        </row>
        <row r="38">
          <cell r="C38">
            <v>40978965.020000003</v>
          </cell>
        </row>
        <row r="41">
          <cell r="C41">
            <v>472009331.80000001</v>
          </cell>
        </row>
        <row r="56">
          <cell r="C56">
            <v>35629504.700000003</v>
          </cell>
        </row>
        <row r="57">
          <cell r="C57">
            <v>279497789.65999997</v>
          </cell>
        </row>
        <row r="58">
          <cell r="C58">
            <v>87773680.950000003</v>
          </cell>
        </row>
        <row r="62">
          <cell r="C62">
            <v>600000</v>
          </cell>
        </row>
        <row r="63">
          <cell r="C63">
            <v>2841427.18</v>
          </cell>
        </row>
        <row r="65">
          <cell r="C65">
            <v>1603695001.97</v>
          </cell>
        </row>
        <row r="66">
          <cell r="C66">
            <v>2855183795.9099998</v>
          </cell>
        </row>
        <row r="70">
          <cell r="C70">
            <v>34858340.399999999</v>
          </cell>
        </row>
        <row r="71">
          <cell r="C71">
            <v>146186.19</v>
          </cell>
        </row>
        <row r="74">
          <cell r="C74">
            <v>22339.29</v>
          </cell>
        </row>
        <row r="75">
          <cell r="C75">
            <v>48378034.829999998</v>
          </cell>
        </row>
        <row r="76">
          <cell r="C76">
            <v>1409709.8</v>
          </cell>
        </row>
        <row r="78">
          <cell r="C78">
            <v>35401338.609999999</v>
          </cell>
        </row>
        <row r="79">
          <cell r="C79">
            <v>26886400</v>
          </cell>
        </row>
        <row r="80">
          <cell r="C80">
            <v>1349775000</v>
          </cell>
          <cell r="D80">
            <v>1353565575</v>
          </cell>
        </row>
        <row r="81">
          <cell r="C81">
            <v>3790575</v>
          </cell>
        </row>
        <row r="88">
          <cell r="C88">
            <v>2175574375.0999999</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heet_RBI"/>
      <sheetName val="Schedule_RBI"/>
      <sheetName val="BS_Fin"/>
      <sheetName val="P&amp;L Account_RBI"/>
      <sheetName val="Cash Flow"/>
      <sheetName val="Revenue_ALL"/>
      <sheetName val="Income &amp; Expenditure"/>
      <sheetName val="CRAR-BASEL I"/>
      <sheetName val="CRAR BASEL II"/>
      <sheetName val="Capital Elements"/>
      <sheetName val="Capital Adequacy Ratio"/>
      <sheetName val="Operation &amp; Mkt Risk"/>
      <sheetName val="Sheet5"/>
      <sheetName val="Sheet1"/>
      <sheetName val="Sheet2"/>
      <sheetName val="P&amp;L-DPNBL"/>
    </sheetNames>
    <sheetDataSet>
      <sheetData sheetId="0">
        <row r="17">
          <cell r="C17">
            <v>8636768067.9021492</v>
          </cell>
        </row>
      </sheetData>
      <sheetData sheetId="1">
        <row r="79">
          <cell r="C79">
            <v>78566581.88000001</v>
          </cell>
        </row>
      </sheetData>
      <sheetData sheetId="2">
        <row r="53">
          <cell r="C53">
            <v>78566581.88000001</v>
          </cell>
        </row>
      </sheetData>
      <sheetData sheetId="3"/>
      <sheetData sheetId="4"/>
      <sheetData sheetId="5"/>
      <sheetData sheetId="6">
        <row r="40">
          <cell r="D40">
            <v>442966043.51999998</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heet"/>
      <sheetName val="Sheet2"/>
      <sheetName val="Schedules"/>
      <sheetName val="P&amp;L"/>
      <sheetName val="Cash Flow"/>
      <sheetName val="REV_ALL"/>
    </sheetNames>
    <sheetDataSet>
      <sheetData sheetId="0"/>
      <sheetData sheetId="1"/>
      <sheetData sheetId="2"/>
      <sheetData sheetId="3">
        <row r="20">
          <cell r="C20">
            <v>123978864.99605006</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heet_RBI"/>
      <sheetName val="Schedule_RBI"/>
      <sheetName val="BS_Fin"/>
      <sheetName val="P&amp;L Account_RBI"/>
      <sheetName val="Cash Flow"/>
      <sheetName val="Revenue_ALL"/>
      <sheetName val="Income &amp; Expenditure"/>
      <sheetName val="CRAR-BASEL I"/>
      <sheetName val="CRAR BASEL II"/>
      <sheetName val="Capital Elements"/>
      <sheetName val="Capital Adequacy Ratio"/>
      <sheetName val="Operation &amp; Mkt Risk"/>
      <sheetName val="Sheet5"/>
      <sheetName val="Sheet1"/>
      <sheetName val="Sheet2"/>
      <sheetName val="P&amp;L-DPNBL"/>
    </sheetNames>
    <sheetDataSet>
      <sheetData sheetId="0"/>
      <sheetData sheetId="1"/>
      <sheetData sheetId="2"/>
      <sheetData sheetId="3"/>
      <sheetData sheetId="4"/>
      <sheetData sheetId="5"/>
      <sheetData sheetId="6">
        <row r="5">
          <cell r="B5">
            <v>163938640.22</v>
          </cell>
        </row>
        <row r="6">
          <cell r="B6">
            <v>312829957.85000002</v>
          </cell>
        </row>
      </sheetData>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heet"/>
      <sheetName val="Sheet2"/>
      <sheetName val="Schedules"/>
      <sheetName val="P&amp;L"/>
      <sheetName val="Cash Flow"/>
      <sheetName val="REV_ALL"/>
    </sheetNames>
    <sheetDataSet>
      <sheetData sheetId="0"/>
      <sheetData sheetId="1" refreshError="1"/>
      <sheetData sheetId="2">
        <row r="40">
          <cell r="B40">
            <v>179189614</v>
          </cell>
        </row>
        <row r="174">
          <cell r="B174">
            <v>3810542.65</v>
          </cell>
        </row>
        <row r="176">
          <cell r="B176">
            <v>8607053.6199999992</v>
          </cell>
        </row>
        <row r="177">
          <cell r="B177">
            <v>2191040</v>
          </cell>
        </row>
        <row r="179">
          <cell r="B179">
            <v>2779249.83</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tabSelected="1" topLeftCell="A7" workbookViewId="0">
      <selection activeCell="R8" sqref="R8"/>
    </sheetView>
  </sheetViews>
  <sheetFormatPr defaultColWidth="9.140625" defaultRowHeight="12.75"/>
  <cols>
    <col min="1" max="1" width="9.140625" style="167"/>
    <col min="2" max="2" width="53.140625" style="167" bestFit="1" customWidth="1"/>
    <col min="3" max="3" width="9.5703125" style="168" bestFit="1" customWidth="1"/>
    <col min="4" max="4" width="15.140625" style="167" hidden="1" customWidth="1"/>
    <col min="5" max="5" width="14.140625" style="167" hidden="1" customWidth="1"/>
    <col min="6" max="6" width="13.85546875" style="167" hidden="1" customWidth="1"/>
    <col min="7" max="7" width="24" style="391" bestFit="1" customWidth="1"/>
    <col min="8" max="8" width="24.140625" style="167" bestFit="1" customWidth="1"/>
    <col min="9" max="9" width="26.42578125" style="167" hidden="1" customWidth="1"/>
    <col min="10" max="10" width="19.140625" style="167" hidden="1" customWidth="1"/>
    <col min="11" max="11" width="18" style="167" hidden="1" customWidth="1"/>
    <col min="12" max="12" width="19.140625" style="167" hidden="1" customWidth="1"/>
    <col min="13" max="13" width="17.28515625" style="167" hidden="1" customWidth="1"/>
    <col min="14" max="14" width="0" style="167" hidden="1" customWidth="1"/>
    <col min="15" max="15" width="16.5703125" style="167" hidden="1" customWidth="1"/>
    <col min="16" max="16" width="15" style="167" hidden="1" customWidth="1"/>
    <col min="17" max="19" width="16.5703125" style="167" bestFit="1" customWidth="1"/>
    <col min="20" max="16384" width="9.140625" style="167"/>
  </cols>
  <sheetData>
    <row r="1" spans="2:15" ht="13.5" thickBot="1">
      <c r="L1" s="170">
        <f t="shared" ref="L1:L31" si="0">J1-K1</f>
        <v>0</v>
      </c>
    </row>
    <row r="2" spans="2:15" ht="14.25" customHeight="1">
      <c r="B2" s="584" t="s">
        <v>491</v>
      </c>
      <c r="C2" s="585"/>
      <c r="D2" s="585"/>
      <c r="E2" s="585"/>
      <c r="F2" s="585"/>
      <c r="G2" s="585"/>
      <c r="H2" s="586"/>
      <c r="L2" s="170">
        <f t="shared" si="0"/>
        <v>0</v>
      </c>
    </row>
    <row r="3" spans="2:15" ht="15" customHeight="1">
      <c r="B3" s="587" t="s">
        <v>416</v>
      </c>
      <c r="C3" s="588"/>
      <c r="D3" s="588"/>
      <c r="E3" s="588"/>
      <c r="F3" s="588"/>
      <c r="G3" s="588"/>
      <c r="H3" s="589"/>
      <c r="L3" s="170">
        <f t="shared" si="0"/>
        <v>0</v>
      </c>
    </row>
    <row r="4" spans="2:15" ht="13.5" thickBot="1">
      <c r="B4" s="174"/>
      <c r="C4" s="176"/>
      <c r="D4" s="177"/>
      <c r="E4" s="178"/>
      <c r="F4" s="175"/>
      <c r="G4" s="392"/>
      <c r="H4" s="453"/>
      <c r="L4" s="170">
        <f t="shared" si="0"/>
        <v>0</v>
      </c>
    </row>
    <row r="5" spans="2:15" ht="15.75" customHeight="1" thickBot="1">
      <c r="B5" s="174"/>
      <c r="C5" s="593" t="s">
        <v>418</v>
      </c>
      <c r="D5" s="582"/>
      <c r="E5" s="583"/>
      <c r="F5" s="175"/>
      <c r="G5" s="590" t="s">
        <v>207</v>
      </c>
      <c r="H5" s="582"/>
      <c r="L5" s="170">
        <f t="shared" si="0"/>
        <v>0</v>
      </c>
    </row>
    <row r="6" spans="2:15" ht="15.75" customHeight="1" thickBot="1">
      <c r="B6" s="174"/>
      <c r="C6" s="594"/>
      <c r="D6" s="175"/>
      <c r="E6" s="175"/>
      <c r="F6" s="175"/>
      <c r="G6" s="591" t="s">
        <v>329</v>
      </c>
      <c r="H6" s="592"/>
      <c r="L6" s="170">
        <f t="shared" si="0"/>
        <v>0</v>
      </c>
    </row>
    <row r="7" spans="2:15" ht="13.5" thickBot="1">
      <c r="B7" s="174"/>
      <c r="C7" s="595"/>
      <c r="D7" s="441"/>
      <c r="E7" s="441"/>
      <c r="F7" s="441"/>
      <c r="G7" s="442" t="s">
        <v>574</v>
      </c>
      <c r="H7" s="442" t="s">
        <v>512</v>
      </c>
      <c r="L7" s="170">
        <f t="shared" si="0"/>
        <v>0</v>
      </c>
    </row>
    <row r="8" spans="2:15">
      <c r="B8" s="174"/>
      <c r="C8" s="176"/>
      <c r="D8" s="175"/>
      <c r="E8" s="175"/>
      <c r="F8" s="175"/>
      <c r="G8" s="392"/>
      <c r="H8" s="454"/>
      <c r="L8" s="170">
        <f t="shared" si="0"/>
        <v>0</v>
      </c>
    </row>
    <row r="9" spans="2:15">
      <c r="B9" s="209" t="s">
        <v>352</v>
      </c>
      <c r="C9" s="176"/>
      <c r="D9" s="175"/>
      <c r="E9" s="175"/>
      <c r="F9" s="175"/>
      <c r="G9" s="392"/>
      <c r="H9" s="453"/>
      <c r="L9" s="170">
        <f t="shared" si="0"/>
        <v>0</v>
      </c>
    </row>
    <row r="10" spans="2:15">
      <c r="B10" s="209"/>
      <c r="C10" s="176"/>
      <c r="D10" s="175"/>
      <c r="E10" s="175"/>
      <c r="F10" s="175"/>
      <c r="G10" s="392"/>
      <c r="H10" s="453"/>
      <c r="L10" s="170">
        <f t="shared" si="0"/>
        <v>0</v>
      </c>
    </row>
    <row r="11" spans="2:15">
      <c r="B11" s="174" t="s">
        <v>269</v>
      </c>
      <c r="C11" s="176">
        <v>13</v>
      </c>
      <c r="D11" s="175"/>
      <c r="E11" s="175"/>
      <c r="F11" s="175"/>
      <c r="G11" s="393">
        <f>+'Other Notes Final'!C106</f>
        <v>1380874192.7699993</v>
      </c>
      <c r="H11" s="450">
        <f>+'Other Notes Final'!D106</f>
        <v>1536606154.1900005</v>
      </c>
      <c r="J11" s="170">
        <f>G11</f>
        <v>1380874192.7699993</v>
      </c>
      <c r="K11" s="390">
        <f>[1]Finacle!$C$56+[1]Finacle!$C$57+[1]Finacle!$C$58</f>
        <v>402900975.30999994</v>
      </c>
      <c r="L11" s="170">
        <f t="shared" si="0"/>
        <v>977973217.45999932</v>
      </c>
      <c r="N11" s="399">
        <f>G28-G24-G26-'Other Notes Final'!C146</f>
        <v>9054750849.4599991</v>
      </c>
      <c r="O11" s="167">
        <v>8035674847.3841486</v>
      </c>
    </row>
    <row r="12" spans="2:15">
      <c r="B12" s="174" t="s">
        <v>270</v>
      </c>
      <c r="C12" s="176">
        <v>14</v>
      </c>
      <c r="D12" s="175"/>
      <c r="E12" s="175"/>
      <c r="F12" s="175"/>
      <c r="G12" s="393">
        <f>+'Other Notes Final'!C118</f>
        <v>2369234951.8500004</v>
      </c>
      <c r="H12" s="450">
        <f>+'Other Notes Final'!D118</f>
        <v>2414002208.7800002</v>
      </c>
      <c r="J12" s="170">
        <f>G12</f>
        <v>2369234951.8500004</v>
      </c>
      <c r="K12" s="390">
        <f>[1]Finacle!$C$80+[1]Finacle!$C$81-13375000+[1]Finacle!$C$88</f>
        <v>3515764950.0999999</v>
      </c>
      <c r="L12" s="170">
        <f t="shared" si="0"/>
        <v>-1146529998.2499995</v>
      </c>
      <c r="N12" s="400"/>
      <c r="O12" s="170">
        <f>N11-O11</f>
        <v>1019076002.0758505</v>
      </c>
    </row>
    <row r="13" spans="2:15">
      <c r="B13" s="174" t="s">
        <v>271</v>
      </c>
      <c r="C13" s="176"/>
      <c r="D13" s="175"/>
      <c r="E13" s="175"/>
      <c r="F13" s="175"/>
      <c r="G13" s="392"/>
      <c r="H13" s="453"/>
      <c r="J13" s="170">
        <f>J11+J12</f>
        <v>3750109144.6199999</v>
      </c>
      <c r="K13" s="170">
        <f>K11+K12</f>
        <v>3918665925.4099998</v>
      </c>
      <c r="L13" s="170">
        <f t="shared" si="0"/>
        <v>-168556780.78999996</v>
      </c>
      <c r="N13" s="400" t="s">
        <v>514</v>
      </c>
    </row>
    <row r="14" spans="2:15">
      <c r="B14" s="174" t="s">
        <v>272</v>
      </c>
      <c r="C14" s="176"/>
      <c r="D14" s="175"/>
      <c r="E14" s="175"/>
      <c r="F14" s="175"/>
      <c r="G14" s="393">
        <v>0</v>
      </c>
      <c r="H14" s="450">
        <v>0</v>
      </c>
      <c r="J14" s="170">
        <f>J13+13375000</f>
        <v>3763484144.6199999</v>
      </c>
      <c r="L14" s="170">
        <f t="shared" si="0"/>
        <v>3763484144.6199999</v>
      </c>
      <c r="N14" s="400" t="s">
        <v>9</v>
      </c>
    </row>
    <row r="15" spans="2:15">
      <c r="B15" s="174" t="s">
        <v>273</v>
      </c>
      <c r="C15" s="176"/>
      <c r="D15" s="175"/>
      <c r="E15" s="175"/>
      <c r="F15" s="175"/>
      <c r="G15" s="393">
        <v>0</v>
      </c>
      <c r="H15" s="450">
        <v>0</v>
      </c>
      <c r="J15" s="170"/>
      <c r="L15" s="170">
        <f t="shared" si="0"/>
        <v>0</v>
      </c>
      <c r="N15" s="400" t="s">
        <v>515</v>
      </c>
    </row>
    <row r="16" spans="2:15">
      <c r="B16" s="174" t="s">
        <v>274</v>
      </c>
      <c r="C16" s="176"/>
      <c r="D16" s="175"/>
      <c r="E16" s="175"/>
      <c r="F16" s="175"/>
      <c r="G16" s="393">
        <v>0</v>
      </c>
      <c r="H16" s="450">
        <v>0</v>
      </c>
      <c r="L16" s="170">
        <f t="shared" si="0"/>
        <v>0</v>
      </c>
      <c r="N16" s="400" t="s">
        <v>516</v>
      </c>
    </row>
    <row r="17" spans="2:17">
      <c r="B17" s="174" t="s">
        <v>275</v>
      </c>
      <c r="C17" s="176"/>
      <c r="D17" s="175"/>
      <c r="E17" s="175"/>
      <c r="F17" s="175"/>
      <c r="G17" s="393">
        <v>0</v>
      </c>
      <c r="H17" s="450">
        <v>0</v>
      </c>
      <c r="L17" s="170">
        <f t="shared" si="0"/>
        <v>0</v>
      </c>
    </row>
    <row r="18" spans="2:17">
      <c r="B18" s="174" t="s">
        <v>276</v>
      </c>
      <c r="C18" s="176"/>
      <c r="D18" s="175"/>
      <c r="E18" s="175"/>
      <c r="F18" s="175"/>
      <c r="G18" s="393">
        <v>0</v>
      </c>
      <c r="H18" s="450">
        <v>0</v>
      </c>
      <c r="L18" s="170">
        <f t="shared" si="0"/>
        <v>0</v>
      </c>
    </row>
    <row r="19" spans="2:17">
      <c r="B19" s="174" t="s">
        <v>277</v>
      </c>
      <c r="C19" s="176">
        <v>15</v>
      </c>
      <c r="D19" s="175"/>
      <c r="E19" s="175"/>
      <c r="F19" s="175"/>
      <c r="G19" s="393">
        <f>+'Other Notes Final'!C130</f>
        <v>4914821501.25</v>
      </c>
      <c r="H19" s="450">
        <f>+'Other Notes Final'!D130</f>
        <v>4459478797.8799992</v>
      </c>
      <c r="J19" s="170">
        <f>G19</f>
        <v>4914821501.25</v>
      </c>
      <c r="K19" s="390">
        <f>[1]Finacle!$C$62+[1]Finacle!$C$63+[1]Finacle!$C$65+[1]Finacle!$C$66</f>
        <v>4462320225.0599995</v>
      </c>
      <c r="L19" s="170">
        <f t="shared" si="0"/>
        <v>452501276.19000053</v>
      </c>
    </row>
    <row r="20" spans="2:17">
      <c r="B20" s="174" t="s">
        <v>278</v>
      </c>
      <c r="C20" s="176"/>
      <c r="D20" s="175"/>
      <c r="E20" s="175"/>
      <c r="F20" s="175"/>
      <c r="G20" s="393">
        <v>0</v>
      </c>
      <c r="H20" s="450">
        <v>0</v>
      </c>
      <c r="L20" s="170">
        <f t="shared" si="0"/>
        <v>0</v>
      </c>
    </row>
    <row r="21" spans="2:17">
      <c r="B21" s="174" t="s">
        <v>279</v>
      </c>
      <c r="C21" s="176"/>
      <c r="D21" s="175"/>
      <c r="E21" s="175"/>
      <c r="F21" s="175"/>
      <c r="G21" s="393">
        <v>0</v>
      </c>
      <c r="H21" s="450">
        <v>0</v>
      </c>
      <c r="L21" s="170">
        <f t="shared" si="0"/>
        <v>0</v>
      </c>
    </row>
    <row r="22" spans="2:17">
      <c r="B22" s="174" t="s">
        <v>280</v>
      </c>
      <c r="C22" s="176" t="s">
        <v>569</v>
      </c>
      <c r="D22" s="175"/>
      <c r="E22" s="175"/>
      <c r="F22" s="175"/>
      <c r="G22" s="393">
        <f>'Other Notes Final'!C138</f>
        <v>250000000</v>
      </c>
      <c r="H22" s="450">
        <v>0</v>
      </c>
      <c r="L22" s="170">
        <f t="shared" si="0"/>
        <v>0</v>
      </c>
    </row>
    <row r="23" spans="2:17">
      <c r="B23" s="174" t="s">
        <v>281</v>
      </c>
      <c r="C23" s="176">
        <v>16</v>
      </c>
      <c r="D23" s="175"/>
      <c r="E23" s="175"/>
      <c r="F23" s="175"/>
      <c r="G23" s="393">
        <f>+'Other Notes Final'!C154</f>
        <v>139820203.59</v>
      </c>
      <c r="H23" s="450">
        <f>+'Other Notes Final'!D154</f>
        <v>94541137.640000001</v>
      </c>
      <c r="I23" s="170"/>
      <c r="J23" s="170">
        <f>G23</f>
        <v>139820203.59</v>
      </c>
      <c r="K23" s="390">
        <f>[1]Finacle!$C$74+[1]Finacle!$C$75+[1]Finacle!$C$76+[1]Finacle!$C$78+[1]Finacle!$C$79+13375000</f>
        <v>125472822.53</v>
      </c>
      <c r="L23" s="170">
        <f t="shared" si="0"/>
        <v>14347381.060000002</v>
      </c>
    </row>
    <row r="24" spans="2:17">
      <c r="B24" s="174" t="s">
        <v>334</v>
      </c>
      <c r="C24" s="176">
        <v>4</v>
      </c>
      <c r="D24" s="354"/>
      <c r="E24" s="354"/>
      <c r="F24" s="175"/>
      <c r="G24" s="394">
        <f>+'PP &amp; equip'!K31</f>
        <v>29779695.499999996</v>
      </c>
      <c r="H24" s="455">
        <f>+'PP &amp; equip'!K30</f>
        <v>34380668.129999995</v>
      </c>
      <c r="J24" s="171">
        <f>G24</f>
        <v>29779695.499999996</v>
      </c>
      <c r="K24" s="390">
        <f>[1]Finacle!$C$70+[1]Finacle!$C$71</f>
        <v>35004526.589999996</v>
      </c>
      <c r="L24" s="170">
        <f t="shared" si="0"/>
        <v>-5224831.09</v>
      </c>
    </row>
    <row r="25" spans="2:17">
      <c r="B25" s="174" t="s">
        <v>282</v>
      </c>
      <c r="C25" s="176"/>
      <c r="D25" s="175"/>
      <c r="E25" s="175"/>
      <c r="F25" s="175"/>
      <c r="G25" s="393">
        <v>0</v>
      </c>
      <c r="H25" s="450">
        <v>0</v>
      </c>
      <c r="L25" s="170">
        <f t="shared" si="0"/>
        <v>0</v>
      </c>
    </row>
    <row r="26" spans="2:17">
      <c r="B26" s="174" t="s">
        <v>283</v>
      </c>
      <c r="C26" s="176">
        <v>22</v>
      </c>
      <c r="D26" s="175"/>
      <c r="E26" s="175"/>
      <c r="F26" s="175"/>
      <c r="G26" s="393">
        <v>247894</v>
      </c>
      <c r="H26" s="450">
        <v>247894</v>
      </c>
      <c r="L26" s="170">
        <f t="shared" si="0"/>
        <v>0</v>
      </c>
    </row>
    <row r="27" spans="2:17" ht="13.5" thickBot="1">
      <c r="B27" s="174" t="s">
        <v>284</v>
      </c>
      <c r="C27" s="176"/>
      <c r="D27" s="175"/>
      <c r="E27" s="175"/>
      <c r="F27" s="175"/>
      <c r="G27" s="393">
        <v>0</v>
      </c>
      <c r="H27" s="450">
        <v>0</v>
      </c>
      <c r="L27" s="170">
        <f t="shared" si="0"/>
        <v>0</v>
      </c>
    </row>
    <row r="28" spans="2:17" ht="13.5" thickBot="1">
      <c r="B28" s="180" t="s">
        <v>285</v>
      </c>
      <c r="C28" s="176"/>
      <c r="D28" s="354"/>
      <c r="E28" s="354"/>
      <c r="F28" s="175"/>
      <c r="G28" s="395">
        <f>SUM(G11:G27)</f>
        <v>9084778438.9599991</v>
      </c>
      <c r="H28" s="456">
        <f>SUM(H11:H27)</f>
        <v>8539256860.6200008</v>
      </c>
      <c r="I28" s="170">
        <f>G28-[2]BSheet_RBI!$C$17</f>
        <v>448010371.05784988</v>
      </c>
      <c r="L28" s="170">
        <f t="shared" si="0"/>
        <v>0</v>
      </c>
      <c r="Q28" s="170"/>
    </row>
    <row r="29" spans="2:17">
      <c r="B29" s="408"/>
      <c r="C29" s="176"/>
      <c r="D29" s="175"/>
      <c r="E29" s="175"/>
      <c r="F29" s="175"/>
      <c r="G29" s="392"/>
      <c r="H29" s="453"/>
      <c r="L29" s="170">
        <f t="shared" si="0"/>
        <v>0</v>
      </c>
    </row>
    <row r="30" spans="2:17">
      <c r="B30" s="209" t="s">
        <v>353</v>
      </c>
      <c r="C30" s="176"/>
      <c r="D30" s="175"/>
      <c r="E30" s="175"/>
      <c r="F30" s="175"/>
      <c r="G30" s="392"/>
      <c r="H30" s="453"/>
      <c r="L30" s="170">
        <f t="shared" si="0"/>
        <v>0</v>
      </c>
    </row>
    <row r="31" spans="2:17">
      <c r="B31" s="209"/>
      <c r="C31" s="176"/>
      <c r="D31" s="175"/>
      <c r="E31" s="175"/>
      <c r="F31" s="175"/>
      <c r="G31" s="392"/>
      <c r="H31" s="453"/>
      <c r="L31" s="170">
        <f t="shared" si="0"/>
        <v>0</v>
      </c>
    </row>
    <row r="32" spans="2:17">
      <c r="B32" s="174" t="s">
        <v>286</v>
      </c>
      <c r="C32" s="176">
        <v>17</v>
      </c>
      <c r="D32" s="175"/>
      <c r="E32" s="175"/>
      <c r="F32" s="175"/>
      <c r="G32" s="393">
        <f>+'Other Notes Final'!C163</f>
        <v>106284522.98999999</v>
      </c>
      <c r="H32" s="450">
        <f>+'Other Notes Final'!D163</f>
        <v>128206179.86</v>
      </c>
      <c r="J32" s="170">
        <f>G32</f>
        <v>106284522.98999999</v>
      </c>
      <c r="K32" s="390">
        <f>[1]Finacle!$C$7</f>
        <v>125991569.48</v>
      </c>
      <c r="L32" s="170">
        <f>J32-K32</f>
        <v>-19707046.49000001</v>
      </c>
    </row>
    <row r="33" spans="2:19">
      <c r="B33" s="174" t="s">
        <v>287</v>
      </c>
      <c r="C33" s="176"/>
      <c r="D33" s="175"/>
      <c r="E33" s="175"/>
      <c r="F33" s="175"/>
      <c r="G33" s="393">
        <v>0</v>
      </c>
      <c r="H33" s="450">
        <v>0</v>
      </c>
      <c r="L33" s="170">
        <f t="shared" ref="L33:L55" si="1">J33-K33</f>
        <v>0</v>
      </c>
      <c r="S33" s="170"/>
    </row>
    <row r="34" spans="2:19">
      <c r="B34" s="174" t="s">
        <v>273</v>
      </c>
      <c r="C34" s="176"/>
      <c r="D34" s="175"/>
      <c r="E34" s="175"/>
      <c r="F34" s="175"/>
      <c r="G34" s="393">
        <v>0</v>
      </c>
      <c r="H34" s="450">
        <v>0</v>
      </c>
      <c r="I34" s="170">
        <f>G49+G50+G51+G48</f>
        <v>467587856.40723503</v>
      </c>
      <c r="L34" s="170">
        <f t="shared" si="1"/>
        <v>0</v>
      </c>
    </row>
    <row r="35" spans="2:19">
      <c r="B35" s="174" t="s">
        <v>288</v>
      </c>
      <c r="C35" s="176"/>
      <c r="D35" s="175"/>
      <c r="E35" s="175"/>
      <c r="F35" s="175"/>
      <c r="G35" s="393">
        <v>0</v>
      </c>
      <c r="H35" s="450">
        <v>0</v>
      </c>
      <c r="L35" s="170">
        <f t="shared" si="1"/>
        <v>0</v>
      </c>
    </row>
    <row r="36" spans="2:19">
      <c r="B36" s="174" t="s">
        <v>289</v>
      </c>
      <c r="C36" s="176"/>
      <c r="D36" s="175"/>
      <c r="E36" s="175"/>
      <c r="F36" s="175"/>
      <c r="G36" s="393">
        <v>0</v>
      </c>
      <c r="H36" s="450">
        <v>0</v>
      </c>
      <c r="L36" s="170">
        <f t="shared" si="1"/>
        <v>0</v>
      </c>
      <c r="R36" s="170"/>
    </row>
    <row r="37" spans="2:19">
      <c r="B37" s="174" t="s">
        <v>290</v>
      </c>
      <c r="C37" s="176">
        <v>18</v>
      </c>
      <c r="D37" s="175"/>
      <c r="E37" s="175"/>
      <c r="F37" s="175"/>
      <c r="G37" s="393">
        <f>+'Other Notes Final'!C177</f>
        <v>7225789686.7300005</v>
      </c>
      <c r="H37" s="450">
        <f>+'Other Notes Final'!D177</f>
        <v>6763400731.6499996</v>
      </c>
      <c r="J37" s="170">
        <f>G37</f>
        <v>7225789686.7300005</v>
      </c>
      <c r="K37" s="390">
        <f>[1]Finacle!$C$8+[1]Finacle!$C$10+[1]Finacle!$C$11+[1]Finacle!$C$12</f>
        <v>6763400731.6499996</v>
      </c>
      <c r="L37" s="170">
        <f t="shared" si="1"/>
        <v>462388955.08000088</v>
      </c>
      <c r="Q37" s="170"/>
      <c r="R37" s="170"/>
    </row>
    <row r="38" spans="2:19">
      <c r="B38" s="174" t="s">
        <v>291</v>
      </c>
      <c r="C38" s="176">
        <v>19</v>
      </c>
      <c r="D38" s="175"/>
      <c r="E38" s="175"/>
      <c r="F38" s="175"/>
      <c r="G38" s="393">
        <f>+'Other Notes Final'!C186</f>
        <v>178800000</v>
      </c>
      <c r="H38" s="450">
        <f>+'Other Notes Final'!D186</f>
        <v>207600000</v>
      </c>
      <c r="L38" s="170">
        <f t="shared" si="1"/>
        <v>0</v>
      </c>
      <c r="R38" s="170"/>
    </row>
    <row r="39" spans="2:19">
      <c r="B39" s="174" t="s">
        <v>292</v>
      </c>
      <c r="C39" s="176">
        <v>12</v>
      </c>
      <c r="D39" s="354"/>
      <c r="E39" s="177"/>
      <c r="F39" s="175"/>
      <c r="G39" s="393">
        <f>+'Other Notes Final'!C82</f>
        <v>37193659.498815015</v>
      </c>
      <c r="H39" s="450">
        <f>+'Other Notes Final'!D82</f>
        <v>57027972.644999981</v>
      </c>
      <c r="J39" s="170">
        <f>G39</f>
        <v>37193659.498815015</v>
      </c>
      <c r="L39" s="170">
        <f t="shared" si="1"/>
        <v>37193659.498815015</v>
      </c>
      <c r="R39" s="170"/>
    </row>
    <row r="40" spans="2:19">
      <c r="B40" s="174" t="s">
        <v>293</v>
      </c>
      <c r="C40" s="176">
        <v>20</v>
      </c>
      <c r="D40" s="175"/>
      <c r="E40" s="262"/>
      <c r="F40" s="175"/>
      <c r="G40" s="393">
        <f>+'Other Notes Final'!C196</f>
        <v>373726359.85000002</v>
      </c>
      <c r="H40" s="450">
        <f>+'Other Notes Final'!D196</f>
        <v>392575380.98000002</v>
      </c>
      <c r="J40" s="170">
        <f>G40</f>
        <v>373726359.85000002</v>
      </c>
      <c r="K40" s="390">
        <f>[1]Finacle!$C$19+[1]Finacle!$C$23+[1]Finacle!$C$25+[1]Finacle!$C$28+[1]Finacle!$C$33+[1]Finacle!$C$37</f>
        <v>297965123.63999999</v>
      </c>
      <c r="L40" s="170">
        <f t="shared" si="1"/>
        <v>75761236.210000038</v>
      </c>
      <c r="R40" s="170"/>
      <c r="S40" s="170"/>
    </row>
    <row r="41" spans="2:19">
      <c r="B41" s="174" t="s">
        <v>294</v>
      </c>
      <c r="C41" s="176">
        <v>21</v>
      </c>
      <c r="D41" s="262"/>
      <c r="E41" s="262"/>
      <c r="F41" s="175"/>
      <c r="G41" s="393">
        <f>+'Other Notes Final'!C207</f>
        <v>245396353.48395002</v>
      </c>
      <c r="H41" s="450">
        <f>+'Other Notes Final'!D207</f>
        <v>160780614.30000001</v>
      </c>
      <c r="J41" s="170">
        <f>G41</f>
        <v>245396353.48395002</v>
      </c>
      <c r="K41" s="390">
        <f>[1]Finacle!$C$34+[1]Finacle!$C$38+[1]Finacle!$C$30</f>
        <v>137480174.02000001</v>
      </c>
      <c r="L41" s="170">
        <f t="shared" si="1"/>
        <v>107916179.46395001</v>
      </c>
      <c r="N41" s="170">
        <f>L41-25986031.64</f>
        <v>81930147.823950008</v>
      </c>
      <c r="O41" s="170">
        <f>'income statement'!G31</f>
        <v>37193659.498815015</v>
      </c>
    </row>
    <row r="42" spans="2:19">
      <c r="B42" s="174" t="s">
        <v>295</v>
      </c>
      <c r="C42" s="176"/>
      <c r="D42" s="175"/>
      <c r="E42" s="175"/>
      <c r="F42" s="175"/>
      <c r="G42" s="393">
        <v>0</v>
      </c>
      <c r="H42" s="450">
        <v>0</v>
      </c>
      <c r="L42" s="170">
        <f t="shared" si="1"/>
        <v>0</v>
      </c>
      <c r="O42" s="170">
        <f>O41-3906734.4</f>
        <v>33286925.098815016</v>
      </c>
    </row>
    <row r="43" spans="2:19" ht="13.5" thickBot="1">
      <c r="B43" s="174" t="s">
        <v>296</v>
      </c>
      <c r="C43" s="176"/>
      <c r="D43" s="177">
        <v>0</v>
      </c>
      <c r="E43" s="178">
        <v>0</v>
      </c>
      <c r="F43" s="175"/>
      <c r="G43" s="393">
        <v>0</v>
      </c>
      <c r="H43" s="450">
        <v>0</v>
      </c>
      <c r="L43" s="170">
        <f t="shared" si="1"/>
        <v>0</v>
      </c>
      <c r="O43" s="167">
        <v>138673.47</v>
      </c>
    </row>
    <row r="44" spans="2:19" ht="13.5" thickBot="1">
      <c r="B44" s="180" t="s">
        <v>297</v>
      </c>
      <c r="C44" s="176"/>
      <c r="D44" s="175"/>
      <c r="E44" s="175"/>
      <c r="F44" s="175"/>
      <c r="G44" s="395">
        <f>SUM(G32:G43)</f>
        <v>8167190582.5527649</v>
      </c>
      <c r="H44" s="456">
        <f>SUM(H32:H43)</f>
        <v>7709590879.4349985</v>
      </c>
      <c r="I44" s="170">
        <f>G44-G28</f>
        <v>-917587856.40723419</v>
      </c>
      <c r="L44" s="170">
        <f t="shared" si="1"/>
        <v>0</v>
      </c>
      <c r="O44" s="170">
        <f>O42-O43</f>
        <v>33148251.628815018</v>
      </c>
    </row>
    <row r="45" spans="2:19">
      <c r="B45" s="408"/>
      <c r="C45" s="176"/>
      <c r="D45" s="175"/>
      <c r="E45" s="175"/>
      <c r="F45" s="175"/>
      <c r="G45" s="392"/>
      <c r="H45" s="453"/>
      <c r="L45" s="170">
        <f t="shared" si="1"/>
        <v>0</v>
      </c>
    </row>
    <row r="46" spans="2:19">
      <c r="B46" s="180" t="s">
        <v>298</v>
      </c>
      <c r="C46" s="176"/>
      <c r="D46" s="175"/>
      <c r="E46" s="175"/>
      <c r="F46" s="175"/>
      <c r="G46" s="392"/>
      <c r="H46" s="453"/>
      <c r="L46" s="170">
        <f t="shared" si="1"/>
        <v>0</v>
      </c>
    </row>
    <row r="47" spans="2:19">
      <c r="B47" s="174" t="s">
        <v>299</v>
      </c>
      <c r="C47" s="176"/>
      <c r="D47" s="175"/>
      <c r="E47" s="175"/>
      <c r="F47" s="175"/>
      <c r="G47" s="394">
        <f>+equity!C24</f>
        <v>450000000</v>
      </c>
      <c r="H47" s="455">
        <f>+equity!C16</f>
        <v>450000000</v>
      </c>
      <c r="J47" s="170">
        <f>G47+G48+G38</f>
        <v>656950800</v>
      </c>
      <c r="K47" s="390">
        <f>[1]Finacle!$C$5</f>
        <v>685750800</v>
      </c>
      <c r="L47" s="170">
        <f t="shared" si="1"/>
        <v>-28800000</v>
      </c>
      <c r="Q47" s="170"/>
    </row>
    <row r="48" spans="2:19">
      <c r="B48" s="174" t="s">
        <v>300</v>
      </c>
      <c r="C48" s="176"/>
      <c r="D48" s="177">
        <f>equity!G16</f>
        <v>5785832.7699999996</v>
      </c>
      <c r="E48" s="178">
        <f>equity!G8</f>
        <v>5785832.7699999996</v>
      </c>
      <c r="F48" s="175"/>
      <c r="G48" s="394">
        <f>+equity!D24</f>
        <v>28150800</v>
      </c>
      <c r="H48" s="455">
        <f>+equity!D16</f>
        <v>28150800</v>
      </c>
      <c r="L48" s="170">
        <f t="shared" si="1"/>
        <v>0</v>
      </c>
    </row>
    <row r="49" spans="2:18">
      <c r="B49" s="174" t="s">
        <v>127</v>
      </c>
      <c r="C49" s="176"/>
      <c r="D49" s="177">
        <f>equity!H16</f>
        <v>829665981.17999995</v>
      </c>
      <c r="E49" s="178">
        <f>equity!H8</f>
        <v>829665981.17999995</v>
      </c>
      <c r="F49" s="175"/>
      <c r="G49" s="394">
        <f>+equity!E24</f>
        <v>282844935.89861751</v>
      </c>
      <c r="H49" s="455">
        <f>+equity!E16</f>
        <v>239452333.14999998</v>
      </c>
      <c r="L49" s="170">
        <f t="shared" si="1"/>
        <v>0</v>
      </c>
      <c r="N49" s="170"/>
    </row>
    <row r="50" spans="2:18">
      <c r="B50" s="174" t="s">
        <v>301</v>
      </c>
      <c r="C50" s="176"/>
      <c r="D50" s="354"/>
      <c r="E50" s="175"/>
      <c r="F50" s="175"/>
      <c r="G50" s="394">
        <f>+equity!F24</f>
        <v>150806287.73861751</v>
      </c>
      <c r="H50" s="455">
        <f>+equity!F16</f>
        <v>106277015.26000002</v>
      </c>
      <c r="I50" s="170">
        <f>G49+G50+G51-472009331.8</f>
        <v>-32572275.392764986</v>
      </c>
      <c r="J50" s="170">
        <f>G49+G50+G51</f>
        <v>439437056.40723503</v>
      </c>
      <c r="K50" s="390">
        <f>[1]Finacle!$C$41</f>
        <v>472009331.80000001</v>
      </c>
      <c r="L50" s="170">
        <f t="shared" si="1"/>
        <v>-32572275.392764986</v>
      </c>
      <c r="N50" s="170"/>
      <c r="O50" s="170">
        <f>J50+L41</f>
        <v>547353235.87118506</v>
      </c>
    </row>
    <row r="51" spans="2:18">
      <c r="B51" s="174" t="s">
        <v>331</v>
      </c>
      <c r="C51" s="176"/>
      <c r="D51" s="354"/>
      <c r="E51" s="175"/>
      <c r="F51" s="175"/>
      <c r="G51" s="394">
        <f>+equity!G24</f>
        <v>5785832.7699999996</v>
      </c>
      <c r="H51" s="455">
        <f>+equity!G16</f>
        <v>5785832.7699999996</v>
      </c>
      <c r="L51" s="170">
        <f t="shared" si="1"/>
        <v>0</v>
      </c>
      <c r="N51" s="170">
        <f>G49-H49</f>
        <v>43392602.74861753</v>
      </c>
      <c r="Q51" s="170"/>
    </row>
    <row r="52" spans="2:18">
      <c r="B52" s="408"/>
      <c r="C52" s="176"/>
      <c r="D52" s="177">
        <f>SUM(D47:D51)</f>
        <v>835451813.94999993</v>
      </c>
      <c r="E52" s="178">
        <f>SUM(E47:E51)</f>
        <v>835451813.94999993</v>
      </c>
      <c r="F52" s="175"/>
      <c r="G52" s="413">
        <f>SUM(G47:G51)</f>
        <v>917587856.40723503</v>
      </c>
      <c r="H52" s="457">
        <f>SUM(H47:H51)</f>
        <v>829665981.17999995</v>
      </c>
      <c r="L52" s="170">
        <f t="shared" si="1"/>
        <v>0</v>
      </c>
      <c r="N52" s="170">
        <f>G50-H50</f>
        <v>44529272.478617489</v>
      </c>
      <c r="Q52" s="170"/>
    </row>
    <row r="53" spans="2:18" ht="13.5" thickBot="1">
      <c r="B53" s="174" t="s">
        <v>265</v>
      </c>
      <c r="C53" s="176"/>
      <c r="D53" s="177">
        <v>0</v>
      </c>
      <c r="E53" s="178"/>
      <c r="F53" s="175"/>
      <c r="G53" s="392"/>
      <c r="H53" s="453"/>
      <c r="J53" s="170">
        <f>SUM(J32:J52)</f>
        <v>9084778438.9599991</v>
      </c>
      <c r="K53" s="170">
        <f>SUM(K32:K52)</f>
        <v>8482597730.5900002</v>
      </c>
      <c r="L53" s="170">
        <f t="shared" si="1"/>
        <v>602180708.36999893</v>
      </c>
      <c r="N53" s="170">
        <f>G51-H51</f>
        <v>0</v>
      </c>
    </row>
    <row r="54" spans="2:18" ht="13.5" thickBot="1">
      <c r="B54" s="180" t="s">
        <v>302</v>
      </c>
      <c r="C54" s="176"/>
      <c r="D54" s="283">
        <f>+D52+D53</f>
        <v>835451813.94999993</v>
      </c>
      <c r="E54" s="284">
        <f>+E52+E53</f>
        <v>835451813.94999993</v>
      </c>
      <c r="F54" s="175"/>
      <c r="G54" s="395">
        <f>+G52+G53</f>
        <v>917587856.40723503</v>
      </c>
      <c r="H54" s="456">
        <f>+H52+H53</f>
        <v>829665981.17999995</v>
      </c>
      <c r="I54" s="170">
        <f>G49+G50+G51</f>
        <v>439437056.40723503</v>
      </c>
      <c r="L54" s="170">
        <f t="shared" si="1"/>
        <v>0</v>
      </c>
      <c r="N54" s="170">
        <f>472009331.8</f>
        <v>472009331.80000001</v>
      </c>
    </row>
    <row r="55" spans="2:18" ht="13.5" thickBot="1">
      <c r="B55" s="180" t="s">
        <v>303</v>
      </c>
      <c r="C55" s="176"/>
      <c r="D55" s="283">
        <f>+D44+D54</f>
        <v>835451813.94999993</v>
      </c>
      <c r="E55" s="284">
        <f>+E44+E54</f>
        <v>835451813.94999993</v>
      </c>
      <c r="F55" s="172" t="e">
        <f>+#REF!-#REF!</f>
        <v>#REF!</v>
      </c>
      <c r="G55" s="395">
        <f>+G44+G54</f>
        <v>9084778438.9599991</v>
      </c>
      <c r="H55" s="456">
        <f>+H44+H54</f>
        <v>8539256860.6149988</v>
      </c>
      <c r="K55" s="171">
        <f>+G55-G28</f>
        <v>0</v>
      </c>
      <c r="L55" s="170">
        <f t="shared" si="1"/>
        <v>0</v>
      </c>
      <c r="M55" s="171" t="e">
        <f>+#REF!-#REF!</f>
        <v>#REF!</v>
      </c>
      <c r="N55" s="170">
        <f>N54-G49-G50-G51-L41-'income statement'!G31</f>
        <v>-112537563.57000002</v>
      </c>
      <c r="Q55" s="170"/>
      <c r="R55" s="170"/>
    </row>
    <row r="56" spans="2:18" ht="13.5" thickBot="1">
      <c r="B56" s="411"/>
      <c r="C56" s="184"/>
      <c r="D56" s="183"/>
      <c r="E56" s="183"/>
      <c r="F56" s="183"/>
      <c r="G56" s="396"/>
      <c r="H56" s="458"/>
      <c r="Q56" s="170"/>
    </row>
    <row r="57" spans="2:18">
      <c r="B57" s="167" t="s">
        <v>17</v>
      </c>
      <c r="G57" s="167"/>
      <c r="I57" s="170" t="e">
        <f>#REF!-#REF!</f>
        <v>#REF!</v>
      </c>
      <c r="Q57" s="170"/>
    </row>
    <row r="58" spans="2:18">
      <c r="B58" s="167" t="s">
        <v>135</v>
      </c>
      <c r="F58" s="171"/>
      <c r="G58" s="167" t="s">
        <v>537</v>
      </c>
      <c r="H58" s="170"/>
    </row>
    <row r="59" spans="2:18">
      <c r="B59" s="167" t="s">
        <v>538</v>
      </c>
      <c r="G59" s="170"/>
    </row>
    <row r="60" spans="2:18">
      <c r="D60" s="170" t="s">
        <v>495</v>
      </c>
      <c r="E60" s="170" t="s">
        <v>496</v>
      </c>
      <c r="J60" s="170">
        <f>G55-G49-G50-G39</f>
        <v>8613933555.8239498</v>
      </c>
    </row>
    <row r="61" spans="2:18">
      <c r="B61" s="167" t="s">
        <v>494</v>
      </c>
      <c r="C61" s="167" t="s">
        <v>497</v>
      </c>
      <c r="G61" s="375" t="s">
        <v>495</v>
      </c>
      <c r="H61" s="376" t="s">
        <v>530</v>
      </c>
      <c r="I61" s="170"/>
      <c r="K61" s="170">
        <f>G49-H49</f>
        <v>43392602.74861753</v>
      </c>
      <c r="L61" s="170">
        <f>G49+G50+G51+G39</f>
        <v>476630715.90605003</v>
      </c>
    </row>
    <row r="62" spans="2:18">
      <c r="B62" s="167" t="s">
        <v>539</v>
      </c>
      <c r="G62" s="167"/>
      <c r="H62" s="186"/>
      <c r="K62" s="170">
        <f>G50-H50</f>
        <v>44529272.478617489</v>
      </c>
      <c r="L62" s="167">
        <f>'income statement'!G25</f>
        <v>7067023.6099999994</v>
      </c>
    </row>
    <row r="63" spans="2:18">
      <c r="K63" s="170" t="e">
        <f>K61+K62+#REF!+#REF!</f>
        <v>#REF!</v>
      </c>
      <c r="L63" s="170" t="e">
        <f>#REF!+#REF!</f>
        <v>#REF!</v>
      </c>
    </row>
    <row r="64" spans="2:18">
      <c r="K64" s="390">
        <f>'income statement'!G33</f>
        <v>86785205.497235</v>
      </c>
      <c r="L64" s="170" t="e">
        <f>472009331.8-L63</f>
        <v>#REF!</v>
      </c>
    </row>
    <row r="65" spans="11:11">
      <c r="K65" s="170" t="e">
        <f>K63-K64</f>
        <v>#REF!</v>
      </c>
    </row>
    <row r="66" spans="11:11">
      <c r="K66" s="170"/>
    </row>
    <row r="68" spans="11:11">
      <c r="K68" s="390">
        <f>212876301.13+138673.47-123</f>
        <v>213014851.59999999</v>
      </c>
    </row>
    <row r="69" spans="11:11">
      <c r="K69" s="170">
        <f>'income statement'!G20</f>
        <v>84615739.183950007</v>
      </c>
    </row>
    <row r="70" spans="11:11">
      <c r="K70" s="167">
        <f>'income statement'!G25</f>
        <v>7067023.6099999994</v>
      </c>
    </row>
    <row r="71" spans="11:11">
      <c r="K71" s="170">
        <f>K68-K69-K70</f>
        <v>121332088.80604999</v>
      </c>
    </row>
    <row r="72" spans="11:11">
      <c r="K72" s="170"/>
    </row>
  </sheetData>
  <customSheetViews>
    <customSheetView guid="{72AECFDF-D723-4070-8275-F05FB2F264F1}" hiddenColumns="1" topLeftCell="A10">
      <selection activeCell="D13" sqref="D13"/>
      <pageMargins left="0.7" right="0.7" top="0.75" bottom="0.75" header="0.3" footer="0.3"/>
      <pageSetup paperSize="9" orientation="portrait" r:id="rId1"/>
    </customSheetView>
    <customSheetView guid="{9A88D99D-9CFD-4D2A-BD86-16F4695A8B22}" hiddenColumns="1" topLeftCell="A11">
      <selection activeCell="C43" sqref="C43"/>
      <pageMargins left="0.7" right="0.7" top="0.75" bottom="0.75" header="0.3" footer="0.3"/>
      <pageSetup paperSize="9" orientation="portrait" r:id="rId2"/>
    </customSheetView>
  </customSheetViews>
  <mergeCells count="6">
    <mergeCell ref="D5:E5"/>
    <mergeCell ref="B2:H2"/>
    <mergeCell ref="B3:H3"/>
    <mergeCell ref="G5:H5"/>
    <mergeCell ref="G6:H6"/>
    <mergeCell ref="C5:C7"/>
  </mergeCells>
  <pageMargins left="0.62" right="0.9" top="0.83" bottom="0.44" header="0.3" footer="0.3"/>
  <pageSetup paperSize="9" scale="71"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B1" workbookViewId="0">
      <selection activeCell="C17" sqref="C17"/>
    </sheetView>
  </sheetViews>
  <sheetFormatPr defaultColWidth="9.140625" defaultRowHeight="12.75"/>
  <cols>
    <col min="1" max="1" width="34.85546875" style="186" hidden="1" customWidth="1"/>
    <col min="2" max="2" width="3.5703125" style="471" bestFit="1" customWidth="1"/>
    <col min="3" max="3" width="86" style="186" customWidth="1"/>
    <col min="4" max="4" width="21.140625" style="186" customWidth="1"/>
    <col min="5" max="5" width="23" style="186" customWidth="1"/>
    <col min="6" max="16384" width="9.140625" style="186"/>
  </cols>
  <sheetData>
    <row r="1" spans="1:8" ht="13.5" thickBot="1">
      <c r="A1" s="468"/>
      <c r="B1" s="470"/>
      <c r="C1" s="642" t="s">
        <v>407</v>
      </c>
      <c r="D1" s="643"/>
      <c r="E1" s="644"/>
    </row>
    <row r="2" spans="1:8" ht="13.5" thickBot="1">
      <c r="A2" s="195"/>
      <c r="B2" s="536"/>
      <c r="C2" s="534"/>
      <c r="D2" s="302"/>
      <c r="E2" s="469"/>
      <c r="F2" s="167"/>
    </row>
    <row r="3" spans="1:8" s="239" customFormat="1">
      <c r="A3" s="532"/>
      <c r="B3" s="537"/>
      <c r="C3" s="535"/>
      <c r="D3" s="533" t="s">
        <v>571</v>
      </c>
      <c r="E3" s="533" t="s">
        <v>499</v>
      </c>
    </row>
    <row r="4" spans="1:8">
      <c r="A4" s="180"/>
      <c r="B4" s="306"/>
      <c r="C4" s="180" t="s">
        <v>394</v>
      </c>
      <c r="D4" s="239"/>
      <c r="E4" s="303"/>
    </row>
    <row r="5" spans="1:8">
      <c r="A5" s="195"/>
      <c r="B5" s="306" t="s">
        <v>395</v>
      </c>
      <c r="C5" s="179" t="s">
        <v>396</v>
      </c>
      <c r="D5" s="239"/>
      <c r="E5" s="303"/>
    </row>
    <row r="6" spans="1:8" ht="13.5" thickBot="1">
      <c r="A6" s="195"/>
      <c r="B6" s="307"/>
      <c r="C6" s="174" t="s">
        <v>408</v>
      </c>
      <c r="D6" s="310">
        <v>1000000000</v>
      </c>
      <c r="E6" s="311">
        <v>1000000000</v>
      </c>
    </row>
    <row r="7" spans="1:8" ht="13.5" thickTop="1">
      <c r="A7" s="195"/>
      <c r="B7" s="307"/>
      <c r="C7" s="195"/>
      <c r="D7" s="239"/>
      <c r="E7" s="303"/>
    </row>
    <row r="8" spans="1:8">
      <c r="A8" s="195"/>
      <c r="B8" s="306" t="s">
        <v>397</v>
      </c>
      <c r="C8" s="179" t="s">
        <v>398</v>
      </c>
      <c r="D8" s="239"/>
      <c r="E8" s="303"/>
    </row>
    <row r="9" spans="1:8">
      <c r="A9" s="195"/>
      <c r="B9" s="307"/>
      <c r="C9" s="174" t="s">
        <v>507</v>
      </c>
      <c r="D9" s="384">
        <v>450000000</v>
      </c>
      <c r="E9" s="314">
        <v>0</v>
      </c>
    </row>
    <row r="10" spans="1:8" ht="13.5" thickBot="1">
      <c r="A10" s="195"/>
      <c r="B10" s="307"/>
      <c r="C10" s="174"/>
      <c r="D10" s="310">
        <v>0</v>
      </c>
      <c r="E10" s="384">
        <v>450000000</v>
      </c>
    </row>
    <row r="11" spans="1:8" ht="13.5" thickTop="1">
      <c r="A11" s="195"/>
      <c r="B11" s="307"/>
      <c r="C11" s="195"/>
      <c r="D11" s="377"/>
      <c r="E11" s="303"/>
    </row>
    <row r="12" spans="1:8">
      <c r="A12" s="195"/>
      <c r="B12" s="307"/>
      <c r="C12" s="195"/>
      <c r="D12" s="378"/>
      <c r="E12" s="304"/>
      <c r="H12" s="170"/>
    </row>
    <row r="13" spans="1:8">
      <c r="A13" s="195"/>
      <c r="B13" s="306" t="s">
        <v>399</v>
      </c>
      <c r="C13" s="174" t="s">
        <v>400</v>
      </c>
      <c r="D13" s="385">
        <v>10</v>
      </c>
      <c r="E13" s="309">
        <v>10</v>
      </c>
    </row>
    <row r="14" spans="1:8">
      <c r="A14" s="195"/>
      <c r="B14" s="307"/>
      <c r="C14" s="195"/>
      <c r="D14" s="386"/>
      <c r="E14" s="303"/>
    </row>
    <row r="15" spans="1:8">
      <c r="A15" s="195"/>
      <c r="B15" s="306" t="s">
        <v>401</v>
      </c>
      <c r="C15" s="174" t="s">
        <v>402</v>
      </c>
      <c r="D15" s="384">
        <v>450000000</v>
      </c>
      <c r="E15" s="387">
        <v>450000000</v>
      </c>
    </row>
    <row r="16" spans="1:8">
      <c r="A16" s="195"/>
      <c r="B16" s="307"/>
      <c r="C16" s="174" t="s">
        <v>403</v>
      </c>
      <c r="D16" s="387">
        <v>0</v>
      </c>
      <c r="E16" s="387">
        <v>0</v>
      </c>
    </row>
    <row r="17" spans="1:6">
      <c r="A17" s="195"/>
      <c r="B17" s="307"/>
      <c r="C17" s="174" t="s">
        <v>404</v>
      </c>
      <c r="D17" s="387">
        <v>0</v>
      </c>
      <c r="E17" s="304">
        <v>0</v>
      </c>
    </row>
    <row r="18" spans="1:6">
      <c r="A18" s="195"/>
      <c r="B18" s="307"/>
      <c r="C18" s="174" t="s">
        <v>405</v>
      </c>
      <c r="D18" s="308">
        <f>D15+D16-D17</f>
        <v>450000000</v>
      </c>
      <c r="E18" s="308">
        <f>E15+E16-E17</f>
        <v>450000000</v>
      </c>
    </row>
    <row r="19" spans="1:6">
      <c r="A19" s="195"/>
      <c r="B19" s="307"/>
      <c r="C19" s="195"/>
      <c r="D19" s="239"/>
      <c r="E19" s="303"/>
    </row>
    <row r="20" spans="1:6" ht="48" customHeight="1">
      <c r="A20" s="195"/>
      <c r="B20" s="651" t="s">
        <v>406</v>
      </c>
      <c r="C20" s="645" t="s">
        <v>412</v>
      </c>
      <c r="D20" s="646"/>
      <c r="E20" s="647"/>
    </row>
    <row r="21" spans="1:6" ht="15.75" hidden="1" customHeight="1" thickBot="1">
      <c r="A21" s="195"/>
      <c r="B21" s="652"/>
      <c r="C21" s="648"/>
      <c r="D21" s="649"/>
      <c r="E21" s="650"/>
    </row>
    <row r="22" spans="1:6">
      <c r="A22" s="195"/>
      <c r="C22" s="195"/>
      <c r="D22" s="239"/>
      <c r="E22" s="303"/>
    </row>
    <row r="23" spans="1:6" ht="16.5" thickBot="1">
      <c r="A23" s="195"/>
      <c r="C23" s="659" t="s">
        <v>492</v>
      </c>
      <c r="D23" s="660"/>
      <c r="E23" s="661"/>
    </row>
    <row r="24" spans="1:6" ht="30" customHeight="1" thickBot="1">
      <c r="A24" s="195"/>
      <c r="C24" s="665" t="s">
        <v>558</v>
      </c>
      <c r="D24" s="666"/>
      <c r="E24" s="667"/>
    </row>
    <row r="25" spans="1:6" ht="11.25" customHeight="1" thickBot="1">
      <c r="A25" s="195"/>
      <c r="C25" s="662"/>
      <c r="D25" s="663"/>
      <c r="E25" s="664"/>
    </row>
    <row r="26" spans="1:6" ht="39.75" customHeight="1" thickBot="1">
      <c r="A26" s="195"/>
      <c r="B26" s="538"/>
      <c r="C26" s="665" t="s">
        <v>560</v>
      </c>
      <c r="D26" s="666"/>
      <c r="E26" s="667"/>
    </row>
    <row r="27" spans="1:6" ht="9.75" customHeight="1" thickBot="1">
      <c r="A27" s="195"/>
      <c r="C27" s="653" t="s">
        <v>559</v>
      </c>
      <c r="D27" s="654"/>
      <c r="E27" s="655"/>
    </row>
    <row r="28" spans="1:6" ht="21" customHeight="1" thickBot="1">
      <c r="A28" s="195"/>
      <c r="C28" s="656" t="s">
        <v>493</v>
      </c>
      <c r="D28" s="657"/>
      <c r="E28" s="658"/>
    </row>
    <row r="29" spans="1:6" ht="108.75" customHeight="1" thickBot="1">
      <c r="A29" s="199"/>
      <c r="B29" s="539"/>
      <c r="C29" s="639" t="s">
        <v>547</v>
      </c>
      <c r="D29" s="640"/>
      <c r="E29" s="641"/>
    </row>
    <row r="30" spans="1:6">
      <c r="B30" s="239"/>
      <c r="C30" s="175" t="s">
        <v>17</v>
      </c>
      <c r="E30" s="175"/>
      <c r="F30" s="167"/>
    </row>
    <row r="31" spans="1:6">
      <c r="B31" s="239"/>
      <c r="C31" s="175" t="s">
        <v>135</v>
      </c>
      <c r="D31" s="175" t="s">
        <v>537</v>
      </c>
      <c r="E31" s="175"/>
      <c r="F31" s="167"/>
    </row>
    <row r="32" spans="1:6">
      <c r="B32" s="239"/>
      <c r="C32" s="175" t="s">
        <v>538</v>
      </c>
      <c r="D32" s="176"/>
      <c r="E32" s="175"/>
      <c r="F32" s="167"/>
    </row>
    <row r="33" spans="2:6">
      <c r="B33" s="239"/>
      <c r="C33" s="175"/>
      <c r="D33" s="176"/>
      <c r="E33" s="175"/>
      <c r="F33" s="167"/>
    </row>
    <row r="34" spans="2:6">
      <c r="B34" s="239"/>
      <c r="C34" s="175"/>
      <c r="D34" s="176"/>
      <c r="E34" s="175"/>
      <c r="F34" s="167"/>
    </row>
    <row r="35" spans="2:6">
      <c r="B35" s="239"/>
      <c r="C35" s="175" t="s">
        <v>494</v>
      </c>
      <c r="D35" s="175" t="s">
        <v>497</v>
      </c>
      <c r="E35" s="354" t="s">
        <v>540</v>
      </c>
      <c r="F35" s="167"/>
    </row>
    <row r="36" spans="2:6">
      <c r="B36" s="239"/>
      <c r="C36" s="175" t="s">
        <v>539</v>
      </c>
      <c r="F36" s="170"/>
    </row>
    <row r="37" spans="2:6">
      <c r="B37" s="239"/>
      <c r="D37" s="176"/>
      <c r="E37" s="175"/>
      <c r="F37" s="167"/>
    </row>
    <row r="38" spans="2:6">
      <c r="B38" s="239"/>
      <c r="D38" s="176"/>
      <c r="E38" s="175"/>
      <c r="F38" s="167"/>
    </row>
  </sheetData>
  <customSheetViews>
    <customSheetView guid="{72AECFDF-D723-4070-8275-F05FB2F264F1}" hiddenColumns="1" topLeftCell="B1">
      <selection activeCell="D17" sqref="D17"/>
      <pageMargins left="0.7" right="0.7" top="0.75" bottom="0.75" header="0.3" footer="0.3"/>
    </customSheetView>
    <customSheetView guid="{9A88D99D-9CFD-4D2A-BD86-16F4695A8B22}" hiddenColumns="1" topLeftCell="B1">
      <selection activeCell="C20" sqref="C20"/>
      <pageMargins left="0.7" right="0.7" top="0.75" bottom="0.75" header="0.3" footer="0.3"/>
    </customSheetView>
  </customSheetViews>
  <mergeCells count="10">
    <mergeCell ref="C29:E29"/>
    <mergeCell ref="C1:E1"/>
    <mergeCell ref="C20:E21"/>
    <mergeCell ref="B20:B21"/>
    <mergeCell ref="C27:E27"/>
    <mergeCell ref="C28:E28"/>
    <mergeCell ref="C23:E23"/>
    <mergeCell ref="C25:E25"/>
    <mergeCell ref="C24:E24"/>
    <mergeCell ref="C26:E26"/>
  </mergeCells>
  <pageMargins left="0.39" right="0.17" top="0.75" bottom="0.75" header="0.3" footer="0.3"/>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opLeftCell="B13" workbookViewId="0">
      <selection activeCell="B17" sqref="B17"/>
    </sheetView>
  </sheetViews>
  <sheetFormatPr defaultColWidth="9.140625" defaultRowHeight="12.75"/>
  <cols>
    <col min="1" max="1" width="6.42578125" style="167" customWidth="1"/>
    <col min="2" max="2" width="28.140625" style="167" bestFit="1" customWidth="1"/>
    <col min="3" max="3" width="14.28515625" style="259" bestFit="1" customWidth="1"/>
    <col min="4" max="4" width="14.28515625" style="167" bestFit="1" customWidth="1"/>
    <col min="5" max="5" width="15.85546875" style="167" bestFit="1" customWidth="1"/>
    <col min="6" max="6" width="14.28515625" style="167" customWidth="1"/>
    <col min="7" max="7" width="14.28515625" style="259" bestFit="1" customWidth="1"/>
    <col min="8" max="9" width="16" style="167" bestFit="1" customWidth="1"/>
    <col min="10" max="10" width="14.28515625" style="167" bestFit="1" customWidth="1"/>
    <col min="11" max="11" width="17.28515625" style="167" bestFit="1" customWidth="1"/>
    <col min="12" max="12" width="15" style="167" hidden="1" customWidth="1"/>
    <col min="13" max="13" width="16.42578125" style="167" hidden="1" customWidth="1"/>
    <col min="14" max="14" width="14.5703125" style="167" hidden="1" customWidth="1"/>
    <col min="15" max="15" width="14.140625" style="169" hidden="1" customWidth="1"/>
    <col min="16" max="16" width="14" style="167" bestFit="1" customWidth="1"/>
    <col min="17" max="16384" width="9.140625" style="167"/>
  </cols>
  <sheetData>
    <row r="1" spans="1:16" ht="13.5" thickBot="1">
      <c r="N1" s="169"/>
      <c r="O1" s="167"/>
    </row>
    <row r="2" spans="1:16" ht="16.5" thickBot="1">
      <c r="B2" s="670" t="s">
        <v>154</v>
      </c>
      <c r="C2" s="671"/>
      <c r="D2" s="671"/>
      <c r="E2" s="671"/>
      <c r="F2" s="671"/>
      <c r="G2" s="671"/>
      <c r="H2" s="671"/>
      <c r="I2" s="671"/>
      <c r="J2" s="671"/>
      <c r="K2" s="672"/>
      <c r="O2" s="167"/>
    </row>
    <row r="3" spans="1:16" ht="13.5" thickBot="1">
      <c r="B3" s="323" t="s">
        <v>417</v>
      </c>
      <c r="C3" s="324" t="s">
        <v>334</v>
      </c>
      <c r="D3" s="325"/>
      <c r="E3" s="325"/>
      <c r="F3" s="325"/>
      <c r="G3" s="325"/>
      <c r="H3" s="325"/>
      <c r="I3" s="325"/>
      <c r="J3" s="325"/>
      <c r="K3" s="326"/>
      <c r="O3" s="167"/>
    </row>
    <row r="4" spans="1:16" ht="13.5" thickBot="1">
      <c r="A4" s="257"/>
      <c r="B4" s="318"/>
      <c r="C4" s="668" t="s">
        <v>207</v>
      </c>
      <c r="D4" s="668"/>
      <c r="E4" s="668"/>
      <c r="F4" s="668"/>
      <c r="G4" s="668"/>
      <c r="H4" s="668"/>
      <c r="I4" s="668"/>
      <c r="J4" s="668"/>
      <c r="K4" s="669"/>
      <c r="O4" s="167"/>
    </row>
    <row r="5" spans="1:16" ht="13.5" thickBot="1">
      <c r="B5" s="174"/>
      <c r="C5" s="263"/>
      <c r="D5" s="175"/>
      <c r="E5" s="175"/>
      <c r="F5" s="175"/>
      <c r="G5" s="263"/>
      <c r="H5" s="175"/>
      <c r="I5" s="175"/>
      <c r="J5" s="175"/>
      <c r="K5" s="264"/>
      <c r="N5" s="169"/>
      <c r="O5" s="167"/>
    </row>
    <row r="6" spans="1:16" ht="39" thickBot="1">
      <c r="B6" s="319" t="s">
        <v>152</v>
      </c>
      <c r="C6" s="320" t="s">
        <v>358</v>
      </c>
      <c r="D6" s="321" t="s">
        <v>347</v>
      </c>
      <c r="E6" s="321" t="s">
        <v>359</v>
      </c>
      <c r="F6" s="321" t="s">
        <v>339</v>
      </c>
      <c r="G6" s="321" t="s">
        <v>360</v>
      </c>
      <c r="H6" s="321" t="s">
        <v>361</v>
      </c>
      <c r="I6" s="321" t="s">
        <v>362</v>
      </c>
      <c r="J6" s="321" t="s">
        <v>340</v>
      </c>
      <c r="K6" s="322" t="s">
        <v>22</v>
      </c>
      <c r="O6" s="167"/>
    </row>
    <row r="7" spans="1:16">
      <c r="B7" s="179" t="s">
        <v>201</v>
      </c>
      <c r="C7" s="275"/>
      <c r="D7" s="262"/>
      <c r="E7" s="262"/>
      <c r="F7" s="262"/>
      <c r="G7" s="261"/>
      <c r="H7" s="262"/>
      <c r="I7" s="262"/>
      <c r="J7" s="262"/>
      <c r="K7" s="265"/>
      <c r="O7" s="167"/>
    </row>
    <row r="8" spans="1:16">
      <c r="B8" s="174" t="s">
        <v>561</v>
      </c>
      <c r="C8" s="415">
        <v>4461530</v>
      </c>
      <c r="D8" s="416">
        <v>2756382.3</v>
      </c>
      <c r="E8" s="416">
        <v>569636.42999999993</v>
      </c>
      <c r="F8" s="416">
        <v>5734758.1900000004</v>
      </c>
      <c r="G8" s="417">
        <v>6989520.2599999998</v>
      </c>
      <c r="H8" s="416">
        <v>12090929.35</v>
      </c>
      <c r="I8" s="416">
        <v>69541715.849999994</v>
      </c>
      <c r="J8" s="416">
        <v>1846490.8299999998</v>
      </c>
      <c r="K8" s="418">
        <f t="shared" ref="K8:K17" si="0">SUM(C8:J8)</f>
        <v>103990963.20999999</v>
      </c>
      <c r="O8" s="167"/>
    </row>
    <row r="9" spans="1:16">
      <c r="B9" s="174" t="s">
        <v>202</v>
      </c>
      <c r="C9" s="415">
        <v>0</v>
      </c>
      <c r="D9" s="416"/>
      <c r="E9" s="416">
        <v>23630</v>
      </c>
      <c r="F9" s="416">
        <v>599796</v>
      </c>
      <c r="G9" s="417">
        <v>356068</v>
      </c>
      <c r="H9" s="416">
        <v>1731521</v>
      </c>
      <c r="I9" s="416">
        <v>1648055</v>
      </c>
      <c r="J9" s="416">
        <v>166080</v>
      </c>
      <c r="K9" s="418">
        <v>4525150</v>
      </c>
      <c r="O9" s="167"/>
    </row>
    <row r="10" spans="1:16">
      <c r="B10" s="174" t="s">
        <v>203</v>
      </c>
      <c r="C10" s="415">
        <v>0</v>
      </c>
      <c r="D10" s="416"/>
      <c r="E10" s="416"/>
      <c r="F10" s="416"/>
      <c r="G10" s="417"/>
      <c r="H10" s="416"/>
      <c r="I10" s="416">
        <v>0</v>
      </c>
      <c r="J10" s="416">
        <v>0</v>
      </c>
      <c r="K10" s="418">
        <f t="shared" si="0"/>
        <v>0</v>
      </c>
      <c r="O10" s="167"/>
    </row>
    <row r="11" spans="1:16">
      <c r="B11" s="174" t="s">
        <v>204</v>
      </c>
      <c r="C11" s="419">
        <v>0</v>
      </c>
      <c r="D11" s="420"/>
      <c r="E11" s="420"/>
      <c r="F11" s="420"/>
      <c r="G11" s="421"/>
      <c r="H11" s="420"/>
      <c r="I11" s="420">
        <v>0</v>
      </c>
      <c r="J11" s="420">
        <v>0</v>
      </c>
      <c r="K11" s="422">
        <f t="shared" si="0"/>
        <v>0</v>
      </c>
      <c r="O11" s="167"/>
    </row>
    <row r="12" spans="1:16" ht="13.5" thickBot="1">
      <c r="B12" s="174" t="s">
        <v>498</v>
      </c>
      <c r="C12" s="426">
        <f t="shared" ref="C12:J12" si="1">+C8+C9-C10+C11</f>
        <v>4461530</v>
      </c>
      <c r="D12" s="427">
        <f t="shared" si="1"/>
        <v>2756382.3</v>
      </c>
      <c r="E12" s="428">
        <f t="shared" si="1"/>
        <v>593266.42999999993</v>
      </c>
      <c r="F12" s="428">
        <f t="shared" si="1"/>
        <v>6334554.1900000004</v>
      </c>
      <c r="G12" s="428">
        <f t="shared" si="1"/>
        <v>7345588.2599999998</v>
      </c>
      <c r="H12" s="428">
        <f t="shared" si="1"/>
        <v>13822450.35</v>
      </c>
      <c r="I12" s="428">
        <f t="shared" si="1"/>
        <v>71189770.849999994</v>
      </c>
      <c r="J12" s="428">
        <f t="shared" si="1"/>
        <v>2012570.8299999998</v>
      </c>
      <c r="K12" s="433">
        <f t="shared" si="0"/>
        <v>108516113.20999999</v>
      </c>
      <c r="O12" s="167"/>
    </row>
    <row r="13" spans="1:16" ht="13.5" thickTop="1">
      <c r="B13" s="174"/>
      <c r="C13" s="415"/>
      <c r="D13" s="416"/>
      <c r="E13" s="416"/>
      <c r="F13" s="416"/>
      <c r="G13" s="417"/>
      <c r="H13" s="416"/>
      <c r="I13" s="416"/>
      <c r="J13" s="416"/>
      <c r="K13" s="418"/>
      <c r="O13" s="167"/>
    </row>
    <row r="14" spans="1:16" ht="15">
      <c r="B14" s="174" t="s">
        <v>202</v>
      </c>
      <c r="C14" s="415">
        <v>0</v>
      </c>
      <c r="D14" s="416"/>
      <c r="E14" s="416">
        <v>0</v>
      </c>
      <c r="F14" s="416">
        <v>231000</v>
      </c>
      <c r="G14" s="417">
        <v>49500</v>
      </c>
      <c r="H14" s="472">
        <v>651540</v>
      </c>
      <c r="I14" s="416">
        <v>1392200</v>
      </c>
      <c r="J14" s="416">
        <v>167616</v>
      </c>
      <c r="K14" s="418">
        <f t="shared" si="0"/>
        <v>2491856</v>
      </c>
      <c r="O14" s="167"/>
      <c r="P14" s="170"/>
    </row>
    <row r="15" spans="1:16">
      <c r="B15" s="174" t="s">
        <v>203</v>
      </c>
      <c r="C15" s="415">
        <v>0</v>
      </c>
      <c r="D15" s="416"/>
      <c r="E15" s="416"/>
      <c r="F15" s="416"/>
      <c r="G15" s="417"/>
      <c r="H15" s="416"/>
      <c r="I15" s="416">
        <v>25805</v>
      </c>
      <c r="J15" s="416">
        <v>0</v>
      </c>
      <c r="K15" s="418">
        <f t="shared" si="0"/>
        <v>25805</v>
      </c>
      <c r="O15" s="167"/>
      <c r="P15" s="170"/>
    </row>
    <row r="16" spans="1:16">
      <c r="B16" s="174" t="s">
        <v>204</v>
      </c>
      <c r="C16" s="415">
        <v>0</v>
      </c>
      <c r="D16" s="416"/>
      <c r="E16" s="416"/>
      <c r="F16" s="416"/>
      <c r="G16" s="417"/>
      <c r="H16" s="416"/>
      <c r="I16" s="416">
        <v>0</v>
      </c>
      <c r="J16" s="416">
        <v>0</v>
      </c>
      <c r="K16" s="418">
        <f t="shared" si="0"/>
        <v>0</v>
      </c>
      <c r="O16" s="167"/>
    </row>
    <row r="17" spans="2:16" ht="13.5" thickBot="1">
      <c r="B17" s="180" t="s">
        <v>572</v>
      </c>
      <c r="C17" s="426">
        <f>+C12+C13+C14-C15+C16</f>
        <v>4461530</v>
      </c>
      <c r="D17" s="427">
        <f>+D12+D13+D14-D15+D16</f>
        <v>2756382.3</v>
      </c>
      <c r="E17" s="428">
        <f t="shared" ref="E17:J17" si="2">+E12+E13+E14-E15+E16</f>
        <v>593266.42999999993</v>
      </c>
      <c r="F17" s="428">
        <f t="shared" si="2"/>
        <v>6565554.1900000004</v>
      </c>
      <c r="G17" s="428">
        <f t="shared" si="2"/>
        <v>7395088.2599999998</v>
      </c>
      <c r="H17" s="428">
        <f t="shared" si="2"/>
        <v>14473990.35</v>
      </c>
      <c r="I17" s="428">
        <f t="shared" si="2"/>
        <v>72556165.849999994</v>
      </c>
      <c r="J17" s="428">
        <f t="shared" si="2"/>
        <v>2180186.83</v>
      </c>
      <c r="K17" s="429">
        <f t="shared" si="0"/>
        <v>110982164.20999999</v>
      </c>
      <c r="N17" s="169"/>
      <c r="O17" s="167"/>
    </row>
    <row r="18" spans="2:16" ht="13.5" thickTop="1">
      <c r="B18" s="174"/>
      <c r="C18" s="430"/>
      <c r="D18" s="416"/>
      <c r="E18" s="416"/>
      <c r="F18" s="416"/>
      <c r="G18" s="417"/>
      <c r="H18" s="416"/>
      <c r="I18" s="416"/>
      <c r="J18" s="416"/>
      <c r="K18" s="418"/>
      <c r="N18" s="169"/>
      <c r="O18" s="167"/>
    </row>
    <row r="19" spans="2:16">
      <c r="B19" s="179" t="s">
        <v>205</v>
      </c>
      <c r="C19" s="415"/>
      <c r="D19" s="416"/>
      <c r="E19" s="416"/>
      <c r="F19" s="416"/>
      <c r="G19" s="417"/>
      <c r="H19" s="416"/>
      <c r="I19" s="416"/>
      <c r="J19" s="416"/>
      <c r="K19" s="418"/>
      <c r="N19" s="169"/>
      <c r="O19" s="167"/>
      <c r="P19" s="170"/>
    </row>
    <row r="20" spans="2:16">
      <c r="B20" s="174" t="s">
        <v>561</v>
      </c>
      <c r="C20" s="415">
        <v>4461530</v>
      </c>
      <c r="D20" s="416">
        <v>2049808.3</v>
      </c>
      <c r="E20" s="416">
        <v>367610.29</v>
      </c>
      <c r="F20" s="416">
        <v>1204716.51</v>
      </c>
      <c r="G20" s="417">
        <v>2760644.81</v>
      </c>
      <c r="H20" s="416">
        <v>6227704.1099999994</v>
      </c>
      <c r="I20" s="416">
        <v>41473483.340000004</v>
      </c>
      <c r="J20" s="416">
        <v>985298.64</v>
      </c>
      <c r="K20" s="418">
        <f t="shared" ref="K20:K27" si="3">SUM(C20:J20)</f>
        <v>59530796</v>
      </c>
      <c r="N20" s="169"/>
      <c r="O20" s="167"/>
    </row>
    <row r="21" spans="2:16">
      <c r="B21" s="174" t="s">
        <v>203</v>
      </c>
      <c r="C21" s="415">
        <v>0</v>
      </c>
      <c r="D21" s="416"/>
      <c r="E21" s="416"/>
      <c r="F21" s="416"/>
      <c r="G21" s="417"/>
      <c r="H21" s="416"/>
      <c r="I21" s="416">
        <v>0</v>
      </c>
      <c r="J21" s="416">
        <v>0</v>
      </c>
      <c r="K21" s="418">
        <f t="shared" si="3"/>
        <v>0</v>
      </c>
      <c r="N21" s="169"/>
      <c r="O21" s="167"/>
      <c r="P21" s="170"/>
    </row>
    <row r="22" spans="2:16">
      <c r="B22" s="174" t="s">
        <v>206</v>
      </c>
      <c r="C22" s="415">
        <v>0</v>
      </c>
      <c r="D22" s="416">
        <v>424058.82</v>
      </c>
      <c r="E22" s="416">
        <v>90518.57</v>
      </c>
      <c r="F22" s="416">
        <v>322284.71000000002</v>
      </c>
      <c r="G22" s="417">
        <v>762418.28</v>
      </c>
      <c r="H22" s="416">
        <v>1998148.23</v>
      </c>
      <c r="I22" s="416">
        <v>10700320.869999999</v>
      </c>
      <c r="J22" s="416">
        <v>306899.59999999998</v>
      </c>
      <c r="K22" s="422">
        <f t="shared" si="3"/>
        <v>14604649.08</v>
      </c>
      <c r="N22" s="169"/>
      <c r="O22" s="167"/>
    </row>
    <row r="23" spans="2:16">
      <c r="B23" s="174" t="s">
        <v>498</v>
      </c>
      <c r="C23" s="423">
        <f>+C20-C21+C22</f>
        <v>4461530</v>
      </c>
      <c r="D23" s="424">
        <f>+D20-D21+D22</f>
        <v>2473867.12</v>
      </c>
      <c r="E23" s="425">
        <f t="shared" ref="E23:G23" si="4">+E20-E21+E22</f>
        <v>458128.86</v>
      </c>
      <c r="F23" s="425">
        <f t="shared" si="4"/>
        <v>1527001.22</v>
      </c>
      <c r="G23" s="425">
        <f t="shared" si="4"/>
        <v>3523063.09</v>
      </c>
      <c r="H23" s="425">
        <f>+H20-H21+H22</f>
        <v>8225852.3399999999</v>
      </c>
      <c r="I23" s="425">
        <f>+I20-I21+I22</f>
        <v>52173804.210000001</v>
      </c>
      <c r="J23" s="425">
        <f>+J20-J21+J22</f>
        <v>1292198.24</v>
      </c>
      <c r="K23" s="418">
        <f t="shared" si="3"/>
        <v>74135445.079999998</v>
      </c>
      <c r="L23" s="170"/>
      <c r="N23" s="169"/>
      <c r="O23" s="171"/>
    </row>
    <row r="24" spans="2:16">
      <c r="B24" s="174"/>
      <c r="C24" s="415"/>
      <c r="D24" s="416"/>
      <c r="E24" s="416"/>
      <c r="F24" s="416"/>
      <c r="G24" s="417"/>
      <c r="H24" s="416"/>
      <c r="I24" s="416"/>
      <c r="J24" s="416"/>
      <c r="K24" s="418"/>
      <c r="N24" s="169"/>
      <c r="O24" s="167"/>
    </row>
    <row r="25" spans="2:16">
      <c r="B25" s="174" t="s">
        <v>203</v>
      </c>
      <c r="C25" s="415">
        <v>0</v>
      </c>
      <c r="D25" s="416"/>
      <c r="E25" s="416"/>
      <c r="F25" s="416"/>
      <c r="G25" s="417"/>
      <c r="H25" s="416"/>
      <c r="I25" s="416">
        <v>0</v>
      </c>
      <c r="J25" s="416">
        <v>0</v>
      </c>
      <c r="K25" s="418">
        <f t="shared" si="3"/>
        <v>0</v>
      </c>
      <c r="L25" s="171"/>
      <c r="N25" s="169"/>
      <c r="O25" s="167"/>
    </row>
    <row r="26" spans="2:16">
      <c r="B26" s="174" t="s">
        <v>206</v>
      </c>
      <c r="C26" s="419">
        <v>0</v>
      </c>
      <c r="D26" s="420">
        <v>211448.51</v>
      </c>
      <c r="E26" s="420">
        <v>41152.959999999999</v>
      </c>
      <c r="F26" s="420">
        <v>177128.42</v>
      </c>
      <c r="G26" s="421">
        <v>397972.03</v>
      </c>
      <c r="H26" s="420">
        <v>1069609.47</v>
      </c>
      <c r="I26" s="420">
        <v>5011109.96</v>
      </c>
      <c r="J26" s="420">
        <v>158602.26</v>
      </c>
      <c r="K26" s="418">
        <f t="shared" si="3"/>
        <v>7067023.6099999994</v>
      </c>
      <c r="L26" s="171"/>
      <c r="N26" s="169"/>
      <c r="O26" s="167"/>
    </row>
    <row r="27" spans="2:16" ht="13.5" thickBot="1">
      <c r="B27" s="180" t="s">
        <v>572</v>
      </c>
      <c r="C27" s="426">
        <f>+C23+C26-C25</f>
        <v>4461530</v>
      </c>
      <c r="D27" s="427">
        <f>+D23+D26-D25</f>
        <v>2685315.63</v>
      </c>
      <c r="E27" s="428">
        <f t="shared" ref="E27:J27" si="5">+E23+E26-E25</f>
        <v>499281.82</v>
      </c>
      <c r="F27" s="428">
        <f t="shared" si="5"/>
        <v>1704129.64</v>
      </c>
      <c r="G27" s="428">
        <f t="shared" si="5"/>
        <v>3921035.12</v>
      </c>
      <c r="H27" s="428">
        <f t="shared" si="5"/>
        <v>9295461.8100000005</v>
      </c>
      <c r="I27" s="428">
        <f t="shared" si="5"/>
        <v>57184914.170000002</v>
      </c>
      <c r="J27" s="428">
        <f t="shared" si="5"/>
        <v>1450800.5</v>
      </c>
      <c r="K27" s="429">
        <f t="shared" si="3"/>
        <v>81202468.689999998</v>
      </c>
      <c r="L27" s="171"/>
      <c r="N27" s="169"/>
      <c r="O27" s="167"/>
      <c r="P27" s="170">
        <f>K27-C27</f>
        <v>76740938.689999998</v>
      </c>
    </row>
    <row r="28" spans="2:16" ht="13.5" thickTop="1">
      <c r="B28" s="179" t="s">
        <v>363</v>
      </c>
      <c r="C28" s="529"/>
      <c r="D28" s="530"/>
      <c r="E28" s="530"/>
      <c r="F28" s="530"/>
      <c r="G28" s="531"/>
      <c r="H28" s="530"/>
      <c r="I28" s="530"/>
      <c r="J28" s="416"/>
      <c r="K28" s="418"/>
      <c r="L28" s="173" t="s">
        <v>364</v>
      </c>
      <c r="N28" s="169"/>
      <c r="O28" s="167"/>
    </row>
    <row r="29" spans="2:16">
      <c r="B29" s="180" t="s">
        <v>561</v>
      </c>
      <c r="C29" s="415">
        <f>+C8-C20</f>
        <v>0</v>
      </c>
      <c r="D29" s="417">
        <f>+D8-D20</f>
        <v>706573.99999999977</v>
      </c>
      <c r="E29" s="416">
        <f t="shared" ref="E29:J29" si="6">+E8-E20</f>
        <v>202026.13999999996</v>
      </c>
      <c r="F29" s="416">
        <f t="shared" si="6"/>
        <v>4530041.6800000006</v>
      </c>
      <c r="G29" s="416">
        <f t="shared" si="6"/>
        <v>4228875.4499999993</v>
      </c>
      <c r="H29" s="416">
        <f t="shared" si="6"/>
        <v>5863225.2400000002</v>
      </c>
      <c r="I29" s="416">
        <f t="shared" si="6"/>
        <v>28068232.50999999</v>
      </c>
      <c r="J29" s="416">
        <f t="shared" si="6"/>
        <v>861192.18999999983</v>
      </c>
      <c r="K29" s="418">
        <f>+K8-K20</f>
        <v>44460167.209999993</v>
      </c>
      <c r="L29" s="171">
        <v>66849102.770000003</v>
      </c>
      <c r="N29" s="169">
        <f>+K29-L29</f>
        <v>-22388935.56000001</v>
      </c>
      <c r="O29" s="167"/>
    </row>
    <row r="30" spans="2:16">
      <c r="B30" s="180" t="s">
        <v>498</v>
      </c>
      <c r="C30" s="415">
        <f>+C12-C23</f>
        <v>0</v>
      </c>
      <c r="D30" s="417">
        <f t="shared" ref="D30:J30" si="7">+D12-D23</f>
        <v>282515.1799999997</v>
      </c>
      <c r="E30" s="417">
        <f t="shared" si="7"/>
        <v>135137.56999999995</v>
      </c>
      <c r="F30" s="417">
        <f t="shared" si="7"/>
        <v>4807552.9700000007</v>
      </c>
      <c r="G30" s="417">
        <f t="shared" si="7"/>
        <v>3822525.17</v>
      </c>
      <c r="H30" s="417">
        <f t="shared" si="7"/>
        <v>5596598.0099999998</v>
      </c>
      <c r="I30" s="417">
        <f t="shared" si="7"/>
        <v>19015966.639999993</v>
      </c>
      <c r="J30" s="417">
        <f t="shared" si="7"/>
        <v>720372.58999999985</v>
      </c>
      <c r="K30" s="418">
        <f>+K12-K23</f>
        <v>34380668.129999995</v>
      </c>
      <c r="L30" s="171">
        <v>55027903.390000001</v>
      </c>
      <c r="N30" s="169">
        <f>+K30-L30</f>
        <v>-20647235.260000005</v>
      </c>
      <c r="O30" s="167"/>
      <c r="P30" s="170"/>
    </row>
    <row r="31" spans="2:16" ht="13.5" thickBot="1">
      <c r="B31" s="180" t="s">
        <v>572</v>
      </c>
      <c r="C31" s="431">
        <f>+C17-C27</f>
        <v>0</v>
      </c>
      <c r="D31" s="528">
        <f t="shared" ref="D31:J31" si="8">+D17-D27</f>
        <v>71066.669999999925</v>
      </c>
      <c r="E31" s="528">
        <f t="shared" si="8"/>
        <v>93984.609999999928</v>
      </c>
      <c r="F31" s="528">
        <f t="shared" si="8"/>
        <v>4861424.5500000007</v>
      </c>
      <c r="G31" s="528">
        <f t="shared" si="8"/>
        <v>3474053.1399999997</v>
      </c>
      <c r="H31" s="528">
        <f t="shared" si="8"/>
        <v>5178528.5399999991</v>
      </c>
      <c r="I31" s="528">
        <f t="shared" si="8"/>
        <v>15371251.679999992</v>
      </c>
      <c r="J31" s="528">
        <f t="shared" si="8"/>
        <v>729386.33000000007</v>
      </c>
      <c r="K31" s="432">
        <f>+K17-K27-0.02</f>
        <v>29779695.499999996</v>
      </c>
      <c r="L31" s="169"/>
      <c r="N31" s="169"/>
      <c r="O31" s="167"/>
      <c r="P31" s="170"/>
    </row>
    <row r="32" spans="2:16">
      <c r="C32" s="260"/>
      <c r="D32" s="170"/>
      <c r="J32" s="170"/>
      <c r="K32" s="170"/>
      <c r="N32" s="170"/>
      <c r="O32" s="167"/>
      <c r="P32" s="170"/>
    </row>
    <row r="33" spans="2:15" ht="13.5" thickBot="1">
      <c r="D33" s="170"/>
      <c r="E33" s="170"/>
      <c r="F33" s="170"/>
      <c r="K33" s="170"/>
      <c r="O33" s="167"/>
    </row>
    <row r="34" spans="2:15" ht="21" customHeight="1" thickBot="1">
      <c r="B34" s="673" t="s">
        <v>527</v>
      </c>
      <c r="C34" s="674"/>
      <c r="D34" s="674"/>
      <c r="E34" s="674"/>
      <c r="F34" s="674"/>
      <c r="G34" s="674"/>
      <c r="H34" s="674"/>
      <c r="I34" s="674"/>
      <c r="J34" s="674"/>
      <c r="K34" s="675"/>
      <c r="O34" s="167"/>
    </row>
    <row r="35" spans="2:15">
      <c r="B35" s="167" t="s">
        <v>17</v>
      </c>
      <c r="G35" s="167"/>
      <c r="K35" s="170"/>
      <c r="O35" s="167"/>
    </row>
    <row r="36" spans="2:15">
      <c r="B36" s="167" t="s">
        <v>135</v>
      </c>
      <c r="F36" s="167" t="s">
        <v>537</v>
      </c>
      <c r="G36" s="167"/>
      <c r="N36" s="169"/>
      <c r="O36" s="167"/>
    </row>
    <row r="37" spans="2:15">
      <c r="B37" s="167" t="s">
        <v>538</v>
      </c>
      <c r="F37" s="168"/>
      <c r="G37" s="167"/>
      <c r="O37" s="167"/>
    </row>
    <row r="38" spans="2:15">
      <c r="C38" s="463"/>
      <c r="F38" s="168"/>
      <c r="G38" s="167"/>
      <c r="O38" s="167"/>
    </row>
    <row r="39" spans="2:15">
      <c r="C39" s="463"/>
      <c r="F39" s="168"/>
      <c r="G39" s="167"/>
      <c r="O39" s="167"/>
    </row>
    <row r="40" spans="2:15">
      <c r="B40" s="167" t="s">
        <v>494</v>
      </c>
      <c r="C40" s="463"/>
      <c r="F40" s="167" t="s">
        <v>497</v>
      </c>
      <c r="G40" s="170" t="s">
        <v>495</v>
      </c>
      <c r="H40" s="170" t="s">
        <v>496</v>
      </c>
      <c r="O40" s="167"/>
    </row>
    <row r="41" spans="2:15">
      <c r="B41" s="167" t="s">
        <v>539</v>
      </c>
    </row>
    <row r="42" spans="2:15">
      <c r="F42" s="168"/>
      <c r="G42" s="167"/>
    </row>
    <row r="43" spans="2:15">
      <c r="C43" s="168"/>
    </row>
    <row r="44" spans="2:15">
      <c r="C44" s="168"/>
    </row>
    <row r="45" spans="2:15">
      <c r="C45" s="168"/>
    </row>
    <row r="46" spans="2:15">
      <c r="B46" s="188"/>
      <c r="C46" s="168"/>
    </row>
    <row r="47" spans="2:15">
      <c r="B47" s="212"/>
      <c r="C47" s="168"/>
      <c r="I47" s="676"/>
      <c r="J47" s="676"/>
    </row>
    <row r="48" spans="2:15">
      <c r="B48" s="212"/>
      <c r="C48" s="168"/>
    </row>
    <row r="49" spans="2:5">
      <c r="B49" s="210"/>
      <c r="C49" s="211"/>
      <c r="D49" s="186"/>
      <c r="E49" s="186"/>
    </row>
  </sheetData>
  <customSheetViews>
    <customSheetView guid="{72AECFDF-D723-4070-8275-F05FB2F264F1}">
      <pageMargins left="0.7" right="0.7" top="0.75" bottom="0.75" header="0.3" footer="0.3"/>
      <pageSetup paperSize="9" orientation="portrait" r:id="rId1"/>
    </customSheetView>
    <customSheetView guid="{9A88D99D-9CFD-4D2A-BD86-16F4695A8B22}">
      <selection activeCell="C1" sqref="C1"/>
      <pageMargins left="0.7" right="0.7" top="0.75" bottom="0.75" header="0.3" footer="0.3"/>
      <pageSetup paperSize="9" orientation="portrait" r:id="rId2"/>
    </customSheetView>
  </customSheetViews>
  <mergeCells count="4">
    <mergeCell ref="C4:K4"/>
    <mergeCell ref="B2:K2"/>
    <mergeCell ref="B34:K34"/>
    <mergeCell ref="I47:J47"/>
  </mergeCells>
  <pageMargins left="0.7" right="0.7" top="0.75" bottom="0.75" header="0.3" footer="0.3"/>
  <pageSetup paperSize="9" scale="76"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249"/>
  <sheetViews>
    <sheetView topLeftCell="A76" zoomScaleNormal="100" workbookViewId="0">
      <selection activeCell="D88" sqref="D88"/>
    </sheetView>
  </sheetViews>
  <sheetFormatPr defaultColWidth="9.140625" defaultRowHeight="12.75"/>
  <cols>
    <col min="1" max="1" width="9.140625" style="343"/>
    <col min="2" max="2" width="57.28515625" style="344" customWidth="1"/>
    <col min="3" max="3" width="25" style="572" bestFit="1" customWidth="1"/>
    <col min="4" max="4" width="25" style="343" bestFit="1" customWidth="1"/>
    <col min="5" max="5" width="23.42578125" style="343" hidden="1" customWidth="1"/>
    <col min="6" max="6" width="22.5703125" style="343" hidden="1" customWidth="1"/>
    <col min="7" max="7" width="21.7109375" style="343" hidden="1" customWidth="1"/>
    <col min="8" max="8" width="15.5703125" style="343" hidden="1" customWidth="1"/>
    <col min="9" max="9" width="16.85546875" style="343" bestFit="1" customWidth="1"/>
    <col min="10" max="10" width="16.5703125" style="343" bestFit="1" customWidth="1"/>
    <col min="11" max="11" width="15" style="343" bestFit="1" customWidth="1"/>
    <col min="12" max="12" width="10.28515625" style="343" bestFit="1" customWidth="1"/>
    <col min="13" max="16384" width="9.140625" style="343"/>
  </cols>
  <sheetData>
    <row r="1" spans="1:10" ht="15.75" customHeight="1" thickBot="1">
      <c r="A1" s="687" t="s">
        <v>154</v>
      </c>
      <c r="B1" s="688"/>
      <c r="C1" s="688"/>
      <c r="D1" s="689"/>
      <c r="E1" s="342"/>
      <c r="F1" s="342"/>
    </row>
    <row r="2" spans="1:10">
      <c r="B2" s="343"/>
      <c r="C2" s="544"/>
      <c r="D2" s="449"/>
    </row>
    <row r="3" spans="1:10" ht="15.75" customHeight="1">
      <c r="B3" s="693" t="s">
        <v>419</v>
      </c>
      <c r="C3" s="694"/>
      <c r="D3" s="695"/>
    </row>
    <row r="4" spans="1:10" ht="13.5" thickBot="1">
      <c r="B4" s="473"/>
      <c r="C4" s="545"/>
      <c r="D4" s="473"/>
    </row>
    <row r="5" spans="1:10" ht="13.5" thickBot="1">
      <c r="B5" s="352" t="s">
        <v>152</v>
      </c>
      <c r="C5" s="546" t="s">
        <v>573</v>
      </c>
      <c r="D5" s="380" t="s">
        <v>501</v>
      </c>
    </row>
    <row r="6" spans="1:10">
      <c r="B6" s="346"/>
      <c r="C6" s="547"/>
      <c r="D6" s="475"/>
    </row>
    <row r="7" spans="1:10">
      <c r="B7" s="346" t="s">
        <v>48</v>
      </c>
      <c r="C7" s="581">
        <v>413035845.88999999</v>
      </c>
      <c r="D7" s="480">
        <v>477001093.73000002</v>
      </c>
      <c r="I7" s="372">
        <f>'[4]Income &amp; Expenditure'!$B$5+'[4]Income &amp; Expenditure'!$B$6</f>
        <v>476768598.07000005</v>
      </c>
      <c r="J7" s="372">
        <f>C7-I7</f>
        <v>-63732752.180000067</v>
      </c>
    </row>
    <row r="8" spans="1:10" ht="15">
      <c r="B8" s="346" t="s">
        <v>81</v>
      </c>
      <c r="C8" s="480">
        <v>64616672.729999997</v>
      </c>
      <c r="D8" s="480">
        <v>57552546.420000002</v>
      </c>
      <c r="E8" s="388">
        <v>57552546.420000002</v>
      </c>
      <c r="I8" s="372">
        <f>C8+C9</f>
        <v>64714466.199999996</v>
      </c>
      <c r="J8" s="372">
        <f>C8-C9</f>
        <v>64518879.259999998</v>
      </c>
    </row>
    <row r="9" spans="1:10" ht="13.5" thickBot="1">
      <c r="B9" s="346" t="s">
        <v>96</v>
      </c>
      <c r="C9" s="481">
        <v>97793.47</v>
      </c>
      <c r="D9" s="481">
        <v>71713.02</v>
      </c>
      <c r="E9" s="342"/>
      <c r="F9" s="342"/>
      <c r="I9" s="343">
        <v>49436253.060000002</v>
      </c>
    </row>
    <row r="10" spans="1:10" s="344" customFormat="1" ht="13.5" thickBot="1">
      <c r="A10" s="343"/>
      <c r="B10" s="347"/>
      <c r="C10" s="548">
        <f>SUM(C7:C9)</f>
        <v>477750312.09000003</v>
      </c>
      <c r="D10" s="477">
        <f t="shared" ref="D10" si="0">SUM(D7:D9)</f>
        <v>534625353.17000002</v>
      </c>
    </row>
    <row r="11" spans="1:10" s="344" customFormat="1" ht="13.5" thickBot="1">
      <c r="A11" s="343"/>
      <c r="B11" s="343"/>
      <c r="C11" s="549"/>
      <c r="D11" s="478"/>
    </row>
    <row r="12" spans="1:10" s="344" customFormat="1" ht="37.5" customHeight="1" thickBot="1">
      <c r="A12" s="343"/>
      <c r="B12" s="690" t="s">
        <v>535</v>
      </c>
      <c r="C12" s="691"/>
      <c r="D12" s="692"/>
    </row>
    <row r="13" spans="1:10" s="344" customFormat="1">
      <c r="A13" s="343"/>
      <c r="B13" s="343"/>
      <c r="C13" s="549"/>
      <c r="D13" s="478"/>
    </row>
    <row r="14" spans="1:10" s="344" customFormat="1">
      <c r="A14" s="343"/>
      <c r="B14" s="372"/>
      <c r="C14" s="550"/>
      <c r="D14" s="343"/>
    </row>
    <row r="15" spans="1:10" s="344" customFormat="1" ht="13.5" thickBot="1">
      <c r="A15" s="343"/>
      <c r="B15" s="343"/>
      <c r="C15" s="551"/>
      <c r="D15" s="343"/>
    </row>
    <row r="16" spans="1:10" ht="15.75" customHeight="1" thickBot="1">
      <c r="B16" s="683" t="s">
        <v>420</v>
      </c>
      <c r="C16" s="684"/>
      <c r="D16" s="685"/>
      <c r="E16" s="342"/>
      <c r="F16" s="342"/>
      <c r="G16" s="342"/>
    </row>
    <row r="17" spans="2:9" ht="13.5" thickBot="1">
      <c r="B17" s="352" t="s">
        <v>152</v>
      </c>
      <c r="C17" s="546" t="s">
        <v>573</v>
      </c>
      <c r="D17" s="474" t="s">
        <v>501</v>
      </c>
    </row>
    <row r="18" spans="2:9">
      <c r="B18" s="346"/>
      <c r="C18" s="552"/>
      <c r="D18" s="475"/>
    </row>
    <row r="19" spans="2:9">
      <c r="B19" s="174" t="s">
        <v>51</v>
      </c>
      <c r="C19" s="580">
        <v>246849409.51999998</v>
      </c>
      <c r="D19" s="482">
        <v>275575080.30000001</v>
      </c>
      <c r="E19" s="389"/>
      <c r="F19" s="342"/>
      <c r="G19" s="342"/>
      <c r="I19" s="372"/>
    </row>
    <row r="20" spans="2:9" ht="13.5" thickBot="1">
      <c r="B20" s="174" t="s">
        <v>103</v>
      </c>
      <c r="C20" s="553">
        <v>9981369.8300000001</v>
      </c>
      <c r="D20" s="482">
        <v>19997260.280000001</v>
      </c>
    </row>
    <row r="21" spans="2:9" ht="13.5" thickBot="1">
      <c r="B21" s="347"/>
      <c r="C21" s="554">
        <f>SUM(C19:C20)</f>
        <v>256830779.34999999</v>
      </c>
      <c r="D21" s="483">
        <f>SUM(D19:D20)</f>
        <v>295572340.58000004</v>
      </c>
    </row>
    <row r="22" spans="2:9">
      <c r="B22" s="372"/>
      <c r="C22" s="550"/>
    </row>
    <row r="23" spans="2:9" ht="13.5" thickBot="1">
      <c r="B23" s="343"/>
      <c r="C23" s="544"/>
    </row>
    <row r="24" spans="2:9" ht="15.75" customHeight="1" thickBot="1">
      <c r="B24" s="683" t="s">
        <v>421</v>
      </c>
      <c r="C24" s="684"/>
      <c r="D24" s="685"/>
    </row>
    <row r="25" spans="2:9" ht="13.5" thickBot="1">
      <c r="B25" s="352" t="s">
        <v>152</v>
      </c>
      <c r="C25" s="546" t="s">
        <v>573</v>
      </c>
      <c r="D25" s="474" t="s">
        <v>501</v>
      </c>
    </row>
    <row r="26" spans="2:9">
      <c r="B26" s="346"/>
      <c r="C26" s="547"/>
      <c r="D26" s="485"/>
    </row>
    <row r="27" spans="2:9" ht="14.25">
      <c r="B27" s="174" t="s">
        <v>191</v>
      </c>
      <c r="C27" s="484">
        <v>77902289.679999992</v>
      </c>
      <c r="D27" s="482">
        <v>98486878.219999999</v>
      </c>
    </row>
    <row r="28" spans="2:9" ht="13.5" thickBot="1">
      <c r="B28" s="174" t="s">
        <v>192</v>
      </c>
      <c r="C28" s="555">
        <v>0</v>
      </c>
      <c r="D28" s="486">
        <v>0</v>
      </c>
    </row>
    <row r="29" spans="2:9" ht="13.5" thickBot="1">
      <c r="B29" s="347"/>
      <c r="C29" s="554">
        <f>SUM(C27:C28)</f>
        <v>77902289.679999992</v>
      </c>
      <c r="D29" s="483">
        <f>SUM(D27:D28)</f>
        <v>98486878.219999999</v>
      </c>
      <c r="F29" s="343">
        <f>-20058038.16+1215040.89</f>
        <v>-18842997.27</v>
      </c>
      <c r="I29" s="372">
        <f>C29+C39</f>
        <v>91774100.239999995</v>
      </c>
    </row>
    <row r="30" spans="2:9">
      <c r="B30" s="343"/>
      <c r="C30" s="544"/>
    </row>
    <row r="31" spans="2:9" ht="13.5" thickBot="1">
      <c r="B31" s="343"/>
      <c r="C31" s="544"/>
    </row>
    <row r="32" spans="2:9" ht="15.75" customHeight="1" thickBot="1">
      <c r="B32" s="683" t="s">
        <v>422</v>
      </c>
      <c r="C32" s="684"/>
      <c r="D32" s="685"/>
    </row>
    <row r="33" spans="2:12" ht="13.5" thickBot="1">
      <c r="B33" s="352" t="s">
        <v>152</v>
      </c>
      <c r="C33" s="546" t="s">
        <v>573</v>
      </c>
      <c r="D33" s="474" t="s">
        <v>501</v>
      </c>
    </row>
    <row r="34" spans="2:12">
      <c r="B34" s="348"/>
      <c r="C34" s="556"/>
      <c r="D34" s="489"/>
    </row>
    <row r="35" spans="2:12">
      <c r="B35" s="346" t="s">
        <v>267</v>
      </c>
      <c r="C35" s="480">
        <v>0</v>
      </c>
      <c r="D35" s="476">
        <v>0</v>
      </c>
      <c r="E35" s="372"/>
    </row>
    <row r="36" spans="2:12">
      <c r="B36" s="346" t="s">
        <v>195</v>
      </c>
      <c r="C36" s="480">
        <v>417140.37</v>
      </c>
      <c r="D36" s="476">
        <v>4353262.4000000004</v>
      </c>
      <c r="E36" s="343" t="s">
        <v>521</v>
      </c>
      <c r="F36" s="372"/>
    </row>
    <row r="37" spans="2:12" ht="15">
      <c r="B37" s="346" t="s">
        <v>409</v>
      </c>
      <c r="C37" s="480">
        <v>13454670.189999999</v>
      </c>
      <c r="D37" s="476">
        <v>18842997.27</v>
      </c>
      <c r="E37" s="388" t="s">
        <v>522</v>
      </c>
      <c r="I37" s="372"/>
      <c r="J37" s="372"/>
      <c r="K37" s="372"/>
      <c r="L37" s="372"/>
    </row>
    <row r="38" spans="2:12" ht="13.5" thickBot="1">
      <c r="B38" s="346" t="s">
        <v>413</v>
      </c>
      <c r="C38" s="480">
        <v>13454670.189999999</v>
      </c>
      <c r="D38" s="476">
        <v>18842997.27</v>
      </c>
      <c r="E38" s="343" t="s">
        <v>523</v>
      </c>
      <c r="F38" s="372">
        <v>758577.7</v>
      </c>
      <c r="I38" s="372"/>
      <c r="K38" s="372"/>
    </row>
    <row r="39" spans="2:12" ht="13.5" thickBot="1">
      <c r="B39" s="347"/>
      <c r="C39" s="557">
        <f>+C37+C36</f>
        <v>13871810.559999999</v>
      </c>
      <c r="D39" s="483">
        <f t="shared" ref="D39" si="1">+D37+D36</f>
        <v>23196259.670000002</v>
      </c>
      <c r="E39" s="343" t="s">
        <v>524</v>
      </c>
      <c r="F39" s="397">
        <v>136328.99</v>
      </c>
      <c r="I39" s="372"/>
    </row>
    <row r="40" spans="2:12">
      <c r="B40" s="343"/>
      <c r="C40" s="550"/>
      <c r="E40" s="372" t="s">
        <v>525</v>
      </c>
      <c r="F40" s="372">
        <v>93490.53</v>
      </c>
    </row>
    <row r="41" spans="2:12" ht="13.5" thickBot="1">
      <c r="B41" s="343"/>
      <c r="C41" s="544"/>
      <c r="E41" s="372"/>
      <c r="F41" s="372">
        <f>F38-F39-F40</f>
        <v>528758.17999999993</v>
      </c>
    </row>
    <row r="42" spans="2:12" ht="15.75" customHeight="1" thickBot="1">
      <c r="B42" s="683" t="s">
        <v>423</v>
      </c>
      <c r="C42" s="684"/>
      <c r="D42" s="685"/>
      <c r="F42" s="343">
        <v>4882020.58</v>
      </c>
    </row>
    <row r="43" spans="2:12" ht="13.5" thickBot="1">
      <c r="B43" s="493"/>
      <c r="C43" s="558"/>
      <c r="D43" s="494"/>
      <c r="F43" s="372">
        <f>F42-F41</f>
        <v>4353262.4000000004</v>
      </c>
    </row>
    <row r="44" spans="2:12" ht="13.5" thickBot="1">
      <c r="B44" s="352" t="s">
        <v>152</v>
      </c>
      <c r="C44" s="546" t="s">
        <v>573</v>
      </c>
      <c r="D44" s="474" t="s">
        <v>501</v>
      </c>
    </row>
    <row r="45" spans="2:12">
      <c r="B45" s="346"/>
      <c r="C45" s="559"/>
      <c r="D45" s="485"/>
    </row>
    <row r="46" spans="2:12">
      <c r="B46" s="346" t="s">
        <v>111</v>
      </c>
      <c r="C46" s="560"/>
      <c r="D46" s="492"/>
    </row>
    <row r="47" spans="2:12">
      <c r="B47" s="346" t="s">
        <v>112</v>
      </c>
      <c r="C47" s="480">
        <v>2857867.2439500019</v>
      </c>
      <c r="D47" s="476">
        <v>2425377.15</v>
      </c>
    </row>
    <row r="48" spans="2:12">
      <c r="B48" s="346" t="s">
        <v>114</v>
      </c>
      <c r="C48" s="480">
        <v>81757871.939999998</v>
      </c>
      <c r="D48" s="476">
        <v>20875063.149999999</v>
      </c>
    </row>
    <row r="49" spans="2:9">
      <c r="B49" s="346" t="s">
        <v>113</v>
      </c>
      <c r="C49" s="561"/>
      <c r="D49" s="476"/>
    </row>
    <row r="50" spans="2:9" ht="13.5" thickBot="1">
      <c r="B50" s="346" t="s">
        <v>121</v>
      </c>
      <c r="C50" s="562">
        <v>0</v>
      </c>
      <c r="D50" s="491">
        <v>0</v>
      </c>
    </row>
    <row r="51" spans="2:9" ht="13.5" thickBot="1">
      <c r="B51" s="347"/>
      <c r="C51" s="548">
        <f>SUM(C47:C50)</f>
        <v>84615739.183950007</v>
      </c>
      <c r="D51" s="477">
        <f t="shared" ref="D51" si="2">SUM(D47:D50)</f>
        <v>23300440.299999997</v>
      </c>
    </row>
    <row r="52" spans="2:9">
      <c r="B52" s="343"/>
      <c r="C52" s="544"/>
    </row>
    <row r="53" spans="2:9" ht="13.5" thickBot="1">
      <c r="B53" s="343"/>
      <c r="C53" s="544"/>
    </row>
    <row r="54" spans="2:9" ht="15.75" customHeight="1" thickBot="1">
      <c r="B54" s="683" t="s">
        <v>424</v>
      </c>
      <c r="C54" s="684"/>
      <c r="D54" s="685"/>
    </row>
    <row r="55" spans="2:9" ht="13.5" thickBot="1">
      <c r="B55" s="493"/>
      <c r="C55" s="558"/>
      <c r="D55" s="494"/>
    </row>
    <row r="56" spans="2:9" ht="13.5" thickBot="1">
      <c r="B56" s="352" t="s">
        <v>152</v>
      </c>
      <c r="C56" s="546" t="s">
        <v>573</v>
      </c>
      <c r="D56" s="474" t="s">
        <v>501</v>
      </c>
    </row>
    <row r="57" spans="2:9">
      <c r="B57" s="346"/>
      <c r="C57" s="563"/>
      <c r="D57" s="492"/>
    </row>
    <row r="58" spans="2:9" ht="13.5" thickBot="1">
      <c r="B58" s="346" t="s">
        <v>200</v>
      </c>
      <c r="C58" s="480">
        <v>49361325.420000002</v>
      </c>
      <c r="D58" s="476">
        <v>57518176.490000002</v>
      </c>
      <c r="I58" s="372"/>
    </row>
    <row r="59" spans="2:9" ht="13.5" thickBot="1">
      <c r="B59" s="347"/>
      <c r="C59" s="557">
        <f>SUM(C58:C58)</f>
        <v>49361325.420000002</v>
      </c>
      <c r="D59" s="483">
        <f>SUM(D58:D58)</f>
        <v>57518176.490000002</v>
      </c>
    </row>
    <row r="60" spans="2:9" ht="13.5" thickBot="1">
      <c r="B60" s="343"/>
      <c r="C60" s="549"/>
      <c r="D60" s="478"/>
    </row>
    <row r="61" spans="2:9" ht="105.75" customHeight="1" thickBot="1">
      <c r="B61" s="680" t="s">
        <v>528</v>
      </c>
      <c r="C61" s="681"/>
      <c r="D61" s="682"/>
    </row>
    <row r="62" spans="2:9">
      <c r="B62" s="343"/>
      <c r="C62" s="549"/>
      <c r="D62" s="478"/>
    </row>
    <row r="63" spans="2:9">
      <c r="B63" s="343"/>
      <c r="C63" s="544"/>
    </row>
    <row r="64" spans="2:9" ht="13.5" thickBot="1">
      <c r="B64" s="343"/>
      <c r="C64" s="544"/>
    </row>
    <row r="65" spans="2:11" ht="15.75" customHeight="1" thickBot="1">
      <c r="B65" s="677" t="s">
        <v>425</v>
      </c>
      <c r="C65" s="678"/>
      <c r="D65" s="679"/>
    </row>
    <row r="66" spans="2:11" ht="13.5" thickBot="1">
      <c r="B66" s="345"/>
      <c r="C66" s="545"/>
      <c r="D66" s="495"/>
    </row>
    <row r="67" spans="2:11" ht="13.5" thickBot="1">
      <c r="B67" s="352" t="s">
        <v>152</v>
      </c>
      <c r="C67" s="546" t="s">
        <v>573</v>
      </c>
      <c r="D67" s="496" t="s">
        <v>501</v>
      </c>
    </row>
    <row r="68" spans="2:11">
      <c r="B68" s="346"/>
      <c r="C68" s="563"/>
      <c r="D68" s="475"/>
    </row>
    <row r="69" spans="2:11">
      <c r="B69" s="346" t="s">
        <v>209</v>
      </c>
      <c r="C69" s="480">
        <v>1171195.42</v>
      </c>
      <c r="D69" s="479">
        <v>1524368.9</v>
      </c>
    </row>
    <row r="70" spans="2:11">
      <c r="B70" s="346" t="s">
        <v>210</v>
      </c>
      <c r="C70" s="480">
        <v>3695117.92</v>
      </c>
      <c r="D70" s="479">
        <v>15749979.01</v>
      </c>
    </row>
    <row r="71" spans="2:11">
      <c r="B71" s="346" t="s">
        <v>91</v>
      </c>
      <c r="C71" s="480">
        <v>10969412.33</v>
      </c>
      <c r="D71" s="479">
        <v>14430770.85</v>
      </c>
    </row>
    <row r="72" spans="2:11">
      <c r="B72" s="346" t="s">
        <v>211</v>
      </c>
      <c r="C72" s="480">
        <v>180000</v>
      </c>
      <c r="D72" s="479">
        <v>275000</v>
      </c>
    </row>
    <row r="73" spans="2:11">
      <c r="B73" s="346" t="s">
        <v>212</v>
      </c>
      <c r="C73" s="480">
        <v>9840178.3699999992</v>
      </c>
      <c r="D73" s="479">
        <v>12772140.92</v>
      </c>
      <c r="I73" s="372"/>
    </row>
    <row r="74" spans="2:11" ht="16.5" thickBot="1">
      <c r="B74" s="346" t="s">
        <v>195</v>
      </c>
      <c r="C74" s="497">
        <v>21814775.73</v>
      </c>
      <c r="D74" s="479">
        <v>30520227.440000001</v>
      </c>
      <c r="E74" s="372">
        <f>C75+C59+C21</f>
        <v>353862784.53999996</v>
      </c>
      <c r="F74" s="372"/>
      <c r="I74" s="372">
        <f>[5]Schedules!$B$174+[5]Schedules!$B$176+[5]Schedules!$B$177+[5]Schedules!$B$179</f>
        <v>17387886.100000001</v>
      </c>
      <c r="J74" s="372"/>
      <c r="K74" s="372"/>
    </row>
    <row r="75" spans="2:11" ht="13.5" thickBot="1">
      <c r="B75" s="347"/>
      <c r="C75" s="548">
        <f>SUM(C69:C74)</f>
        <v>47670679.769999996</v>
      </c>
      <c r="D75" s="483">
        <f t="shared" ref="D75" si="3">SUM(D69:D74)</f>
        <v>75272487.120000005</v>
      </c>
    </row>
    <row r="76" spans="2:11">
      <c r="B76" s="343"/>
      <c r="C76" s="544"/>
    </row>
    <row r="77" spans="2:11" ht="13.5" thickBot="1">
      <c r="B77" s="343"/>
      <c r="C77" s="544"/>
    </row>
    <row r="78" spans="2:11" ht="15.75" customHeight="1" thickBot="1">
      <c r="B78" s="677" t="s">
        <v>426</v>
      </c>
      <c r="C78" s="678"/>
      <c r="D78" s="679"/>
    </row>
    <row r="79" spans="2:11" ht="13.5" thickBot="1">
      <c r="B79" s="345"/>
      <c r="C79" s="545"/>
      <c r="D79" s="495"/>
    </row>
    <row r="80" spans="2:11" ht="13.5" thickBot="1">
      <c r="B80" s="451" t="s">
        <v>152</v>
      </c>
      <c r="C80" s="546" t="s">
        <v>573</v>
      </c>
      <c r="D80" s="499" t="s">
        <v>501</v>
      </c>
      <c r="E80" s="372"/>
    </row>
    <row r="81" spans="1:9">
      <c r="B81" s="346" t="s">
        <v>345</v>
      </c>
      <c r="C81" s="560"/>
      <c r="D81" s="475"/>
      <c r="E81" s="372"/>
    </row>
    <row r="82" spans="1:9">
      <c r="B82" s="349" t="s">
        <v>213</v>
      </c>
      <c r="C82" s="480">
        <v>37193659.498815015</v>
      </c>
      <c r="D82" s="479">
        <v>57027972.644999981</v>
      </c>
      <c r="E82" s="343" t="s">
        <v>509</v>
      </c>
      <c r="I82" s="372"/>
    </row>
    <row r="83" spans="1:9">
      <c r="A83" s="373"/>
      <c r="B83" s="349" t="s">
        <v>123</v>
      </c>
      <c r="C83" s="480">
        <v>0</v>
      </c>
      <c r="D83" s="479">
        <v>4045284.89</v>
      </c>
      <c r="E83" s="343" t="s">
        <v>509</v>
      </c>
    </row>
    <row r="84" spans="1:9">
      <c r="B84" s="349" t="s">
        <v>330</v>
      </c>
      <c r="C84" s="480">
        <v>0</v>
      </c>
      <c r="D84" s="479">
        <v>0</v>
      </c>
    </row>
    <row r="85" spans="1:9" ht="13.5" thickBot="1">
      <c r="B85" s="349"/>
      <c r="C85" s="564">
        <f>C82+C83+C84</f>
        <v>37193659.498815015</v>
      </c>
      <c r="D85" s="500">
        <f>D82+D83+D84</f>
        <v>61073257.534999982</v>
      </c>
    </row>
    <row r="86" spans="1:9" ht="13.5" thickTop="1">
      <c r="B86" s="349" t="s">
        <v>487</v>
      </c>
      <c r="C86" s="480"/>
      <c r="D86" s="479"/>
    </row>
    <row r="87" spans="1:9" ht="13.5" thickBot="1">
      <c r="B87" s="349" t="s">
        <v>266</v>
      </c>
      <c r="C87" s="480">
        <v>0</v>
      </c>
      <c r="D87" s="479">
        <v>15583</v>
      </c>
    </row>
    <row r="88" spans="1:9" ht="13.5" thickBot="1">
      <c r="B88" s="374" t="s">
        <v>488</v>
      </c>
      <c r="C88" s="557">
        <f>+C85+C87</f>
        <v>37193659.498815015</v>
      </c>
      <c r="D88" s="488">
        <f>+D85+D87</f>
        <v>61088840.534999982</v>
      </c>
    </row>
    <row r="89" spans="1:9" ht="13.5" thickBot="1">
      <c r="B89" s="346"/>
      <c r="C89" s="549"/>
      <c r="D89" s="498"/>
    </row>
    <row r="90" spans="1:9" ht="38.25" customHeight="1" thickBot="1">
      <c r="B90" s="680" t="s">
        <v>529</v>
      </c>
      <c r="C90" s="681"/>
      <c r="D90" s="682"/>
    </row>
    <row r="91" spans="1:9">
      <c r="B91" s="343"/>
      <c r="C91" s="544"/>
    </row>
    <row r="92" spans="1:9" ht="13.5" thickBot="1">
      <c r="B92" s="343"/>
      <c r="C92" s="544"/>
    </row>
    <row r="93" spans="1:9" ht="15.75" customHeight="1" thickBot="1">
      <c r="B93" s="677" t="s">
        <v>427</v>
      </c>
      <c r="C93" s="678"/>
      <c r="D93" s="679"/>
    </row>
    <row r="94" spans="1:9" ht="13.5" thickBot="1">
      <c r="B94" s="345"/>
      <c r="C94" s="545"/>
      <c r="D94" s="495"/>
    </row>
    <row r="95" spans="1:9" ht="13.5" thickBot="1">
      <c r="B95" s="352" t="s">
        <v>152</v>
      </c>
      <c r="C95" s="546" t="s">
        <v>573</v>
      </c>
      <c r="D95" s="499" t="s">
        <v>501</v>
      </c>
    </row>
    <row r="96" spans="1:9">
      <c r="B96" s="346"/>
      <c r="C96" s="437"/>
      <c r="D96" s="475"/>
    </row>
    <row r="97" spans="2:8">
      <c r="B97" s="350" t="s">
        <v>64</v>
      </c>
      <c r="C97" s="434"/>
      <c r="D97" s="479"/>
    </row>
    <row r="98" spans="2:8">
      <c r="B98" s="349" t="s">
        <v>30</v>
      </c>
      <c r="C98" s="434">
        <v>67576953.549999997</v>
      </c>
      <c r="D98" s="434">
        <v>74830554.700000003</v>
      </c>
      <c r="F98" s="372">
        <f>C98+C99+C100</f>
        <v>76204949.079999998</v>
      </c>
      <c r="G98" s="397">
        <f>[1]Finacle!$C$56</f>
        <v>35629504.700000003</v>
      </c>
      <c r="H98" s="372">
        <f>F98-G98</f>
        <v>40575444.379999995</v>
      </c>
    </row>
    <row r="99" spans="2:8">
      <c r="B99" s="349" t="s">
        <v>31</v>
      </c>
      <c r="C99" s="434">
        <v>2112950</v>
      </c>
      <c r="D99" s="434">
        <v>894600</v>
      </c>
      <c r="H99" s="372">
        <f t="shared" ref="H99:H113" si="4">F99-G99</f>
        <v>0</v>
      </c>
    </row>
    <row r="100" spans="2:8">
      <c r="B100" s="349" t="s">
        <v>32</v>
      </c>
      <c r="C100" s="434">
        <v>6515045.5300000003</v>
      </c>
      <c r="D100" s="434">
        <v>2841427.18</v>
      </c>
      <c r="H100" s="372">
        <f t="shared" si="4"/>
        <v>0</v>
      </c>
    </row>
    <row r="101" spans="2:8">
      <c r="B101" s="349"/>
      <c r="C101" s="434"/>
      <c r="D101" s="434"/>
      <c r="H101" s="372">
        <f t="shared" si="4"/>
        <v>0</v>
      </c>
    </row>
    <row r="102" spans="2:8">
      <c r="B102" s="349" t="s">
        <v>305</v>
      </c>
      <c r="C102" s="434">
        <v>653102169.67999995</v>
      </c>
      <c r="D102" s="434">
        <v>631765683.51999998</v>
      </c>
      <c r="F102" s="372">
        <f>C102+C103+C104+C114+C116</f>
        <v>2453032355.539999</v>
      </c>
      <c r="G102" s="397">
        <f>[1]Finacle!$C$57+[1]Finacle!$C$58</f>
        <v>367271470.60999995</v>
      </c>
      <c r="H102" s="372">
        <f t="shared" si="4"/>
        <v>2085760884.9299991</v>
      </c>
    </row>
    <row r="103" spans="2:8">
      <c r="B103" s="349" t="s">
        <v>304</v>
      </c>
      <c r="C103" s="434">
        <v>100000</v>
      </c>
      <c r="D103" s="434">
        <v>100000</v>
      </c>
      <c r="H103" s="372">
        <f t="shared" si="4"/>
        <v>0</v>
      </c>
    </row>
    <row r="104" spans="2:8">
      <c r="B104" s="349" t="s">
        <v>34</v>
      </c>
      <c r="C104" s="434">
        <v>651467074.00999928</v>
      </c>
      <c r="D104" s="434">
        <v>826173888.79000056</v>
      </c>
      <c r="H104" s="372">
        <f t="shared" si="4"/>
        <v>0</v>
      </c>
    </row>
    <row r="105" spans="2:8">
      <c r="B105" s="401"/>
      <c r="C105" s="434"/>
      <c r="D105" s="476"/>
      <c r="H105" s="372">
        <f t="shared" si="4"/>
        <v>0</v>
      </c>
    </row>
    <row r="106" spans="2:8" ht="13.5" thickBot="1">
      <c r="B106" s="347"/>
      <c r="C106" s="438">
        <f>SUM(C98:C105)</f>
        <v>1380874192.7699993</v>
      </c>
      <c r="D106" s="501">
        <f t="shared" ref="D106" si="5">SUM(D98:D105)</f>
        <v>1536606154.1900005</v>
      </c>
      <c r="H106" s="372">
        <f t="shared" si="4"/>
        <v>0</v>
      </c>
    </row>
    <row r="107" spans="2:8">
      <c r="B107" s="343"/>
      <c r="C107" s="544"/>
      <c r="E107" s="372">
        <f>C98+C99+C102+C103+C104+C114+C116+C100</f>
        <v>2529237304.6199994</v>
      </c>
      <c r="H107" s="372">
        <f t="shared" si="4"/>
        <v>0</v>
      </c>
    </row>
    <row r="108" spans="2:8" ht="13.5" thickBot="1">
      <c r="B108" s="343"/>
      <c r="C108" s="544"/>
      <c r="H108" s="372">
        <f t="shared" si="4"/>
        <v>0</v>
      </c>
    </row>
    <row r="109" spans="2:8" ht="15.75" customHeight="1" thickBot="1">
      <c r="B109" s="677" t="s">
        <v>428</v>
      </c>
      <c r="C109" s="678"/>
      <c r="D109" s="679"/>
      <c r="H109" s="372">
        <f t="shared" si="4"/>
        <v>0</v>
      </c>
    </row>
    <row r="110" spans="2:8" ht="13.5" thickBot="1">
      <c r="B110" s="345"/>
      <c r="C110" s="545"/>
      <c r="D110" s="495"/>
      <c r="H110" s="372">
        <f t="shared" si="4"/>
        <v>0</v>
      </c>
    </row>
    <row r="111" spans="2:8" ht="13.5" thickBot="1">
      <c r="B111" s="352" t="s">
        <v>152</v>
      </c>
      <c r="C111" s="546" t="s">
        <v>573</v>
      </c>
      <c r="D111" s="499" t="s">
        <v>501</v>
      </c>
      <c r="H111" s="372">
        <f t="shared" si="4"/>
        <v>0</v>
      </c>
    </row>
    <row r="112" spans="2:8">
      <c r="B112" s="346"/>
      <c r="C112" s="560"/>
      <c r="D112" s="475"/>
      <c r="H112" s="372">
        <f t="shared" si="4"/>
        <v>0</v>
      </c>
    </row>
    <row r="113" spans="2:8">
      <c r="B113" s="350" t="s">
        <v>35</v>
      </c>
      <c r="C113" s="561"/>
      <c r="D113" s="490"/>
      <c r="H113" s="372">
        <f t="shared" si="4"/>
        <v>0</v>
      </c>
    </row>
    <row r="114" spans="2:8">
      <c r="B114" s="349" t="s">
        <v>36</v>
      </c>
      <c r="C114" s="480">
        <v>1088871619.22</v>
      </c>
      <c r="D114" s="480">
        <v>824598785.44000006</v>
      </c>
      <c r="F114" s="343">
        <v>2214610.38</v>
      </c>
    </row>
    <row r="115" spans="2:8">
      <c r="B115" s="349" t="s">
        <v>517</v>
      </c>
      <c r="C115" s="480">
        <v>0</v>
      </c>
      <c r="D115" s="480"/>
    </row>
    <row r="116" spans="2:8">
      <c r="B116" s="349" t="s">
        <v>37</v>
      </c>
      <c r="C116" s="480">
        <v>59491492.63000001</v>
      </c>
      <c r="D116" s="480">
        <v>222326448.34</v>
      </c>
      <c r="E116" s="343">
        <f>1353565575-13375000</f>
        <v>1340190575</v>
      </c>
      <c r="F116" s="372">
        <f>E116-C117</f>
        <v>119318735</v>
      </c>
    </row>
    <row r="117" spans="2:8">
      <c r="B117" s="349" t="s">
        <v>73</v>
      </c>
      <c r="C117" s="480">
        <v>1220871840</v>
      </c>
      <c r="D117" s="480">
        <v>1367076975</v>
      </c>
      <c r="E117" s="343" t="s">
        <v>510</v>
      </c>
    </row>
    <row r="118" spans="2:8" ht="13.5" thickBot="1">
      <c r="B118" s="398"/>
      <c r="C118" s="565">
        <f>SUM(C114:C117)</f>
        <v>2369234951.8500004</v>
      </c>
      <c r="D118" s="502">
        <f>SUM(D114:D117)</f>
        <v>2414002208.7800002</v>
      </c>
    </row>
    <row r="119" spans="2:8">
      <c r="B119" s="343"/>
      <c r="C119" s="544"/>
      <c r="E119" s="372">
        <f>C117+C149+C150</f>
        <v>1234246840</v>
      </c>
    </row>
    <row r="120" spans="2:8" ht="13.5" thickBot="1">
      <c r="B120" s="343"/>
      <c r="C120" s="544"/>
    </row>
    <row r="121" spans="2:8" ht="15.75" customHeight="1" thickBot="1">
      <c r="B121" s="677" t="s">
        <v>429</v>
      </c>
      <c r="C121" s="678"/>
      <c r="D121" s="679"/>
    </row>
    <row r="122" spans="2:8" ht="13.5" thickBot="1">
      <c r="B122" s="345"/>
      <c r="C122" s="545"/>
      <c r="D122" s="495"/>
    </row>
    <row r="123" spans="2:8" ht="13.5" thickBot="1">
      <c r="B123" s="352" t="s">
        <v>152</v>
      </c>
      <c r="C123" s="546" t="s">
        <v>573</v>
      </c>
      <c r="D123" s="499" t="s">
        <v>501</v>
      </c>
    </row>
    <row r="124" spans="2:8">
      <c r="B124" s="346"/>
      <c r="C124" s="412"/>
      <c r="D124" s="475"/>
    </row>
    <row r="125" spans="2:8">
      <c r="B125" s="350" t="s">
        <v>38</v>
      </c>
      <c r="C125" s="435">
        <v>254264358.80000001</v>
      </c>
      <c r="D125" s="435">
        <v>253448819.94999999</v>
      </c>
    </row>
    <row r="126" spans="2:8">
      <c r="B126" s="349" t="s">
        <v>39</v>
      </c>
      <c r="C126" s="435">
        <v>398190645.13999999</v>
      </c>
      <c r="D126" s="435">
        <v>358790490.88999999</v>
      </c>
    </row>
    <row r="127" spans="2:8">
      <c r="B127" s="349" t="s">
        <v>40</v>
      </c>
      <c r="C127" s="435">
        <v>1041535143.79</v>
      </c>
      <c r="D127" s="435">
        <v>991455691.13</v>
      </c>
      <c r="F127" s="343">
        <v>2850700594.9099998</v>
      </c>
    </row>
    <row r="128" spans="2:8">
      <c r="B128" s="349" t="s">
        <v>41</v>
      </c>
      <c r="C128" s="435">
        <v>3220831353.52</v>
      </c>
      <c r="D128" s="435">
        <v>2855183795.9099998</v>
      </c>
      <c r="F128" s="343">
        <v>4483201</v>
      </c>
    </row>
    <row r="129" spans="2:6">
      <c r="B129" s="349" t="s">
        <v>72</v>
      </c>
      <c r="C129" s="435">
        <v>0</v>
      </c>
      <c r="D129" s="435">
        <v>600000</v>
      </c>
      <c r="F129" s="372">
        <f>F127+F128</f>
        <v>2855183795.9099998</v>
      </c>
    </row>
    <row r="130" spans="2:6" ht="13.5" thickBot="1">
      <c r="B130" s="347"/>
      <c r="C130" s="566">
        <f>SUM(C125:C129)</f>
        <v>4914821501.25</v>
      </c>
      <c r="D130" s="501">
        <f t="shared" ref="D130" si="6">SUM(D125:D129)</f>
        <v>4459478797.8799992</v>
      </c>
    </row>
    <row r="131" spans="2:6">
      <c r="B131" s="343"/>
      <c r="C131" s="575"/>
      <c r="D131" s="576"/>
    </row>
    <row r="132" spans="2:6" ht="13.5" thickBot="1">
      <c r="B132" s="343"/>
      <c r="C132" s="575"/>
      <c r="D132" s="576"/>
    </row>
    <row r="133" spans="2:6" ht="13.5" thickBot="1">
      <c r="B133" s="677" t="s">
        <v>570</v>
      </c>
      <c r="C133" s="678"/>
      <c r="D133" s="679"/>
    </row>
    <row r="134" spans="2:6" ht="13.5" thickBot="1">
      <c r="B134" s="345"/>
      <c r="C134" s="545"/>
      <c r="D134" s="495"/>
    </row>
    <row r="135" spans="2:6" ht="13.5" thickBot="1">
      <c r="B135" s="352" t="s">
        <v>152</v>
      </c>
      <c r="C135" s="546" t="s">
        <v>573</v>
      </c>
      <c r="D135" s="499" t="s">
        <v>501</v>
      </c>
    </row>
    <row r="136" spans="2:6">
      <c r="B136" s="485"/>
      <c r="C136" s="559"/>
      <c r="D136" s="485"/>
    </row>
    <row r="137" spans="2:6" ht="13.5" thickBot="1">
      <c r="B137" s="306" t="s">
        <v>280</v>
      </c>
      <c r="C137" s="480">
        <v>250000000</v>
      </c>
      <c r="D137" s="577">
        <v>0</v>
      </c>
    </row>
    <row r="138" spans="2:6" ht="13.5" thickBot="1">
      <c r="B138" s="578"/>
      <c r="C138" s="579">
        <f>C137</f>
        <v>250000000</v>
      </c>
      <c r="D138" s="579">
        <f>D137</f>
        <v>0</v>
      </c>
    </row>
    <row r="139" spans="2:6" ht="13.5" thickBot="1">
      <c r="B139" s="343"/>
      <c r="C139" s="544"/>
      <c r="F139" s="383" t="s">
        <v>502</v>
      </c>
    </row>
    <row r="140" spans="2:6" ht="15.75" customHeight="1" thickBot="1">
      <c r="B140" s="677" t="s">
        <v>430</v>
      </c>
      <c r="C140" s="678"/>
      <c r="D140" s="679"/>
      <c r="F140" s="383" t="s">
        <v>503</v>
      </c>
    </row>
    <row r="141" spans="2:6" ht="13.5" thickBot="1">
      <c r="B141" s="345"/>
      <c r="C141" s="545"/>
      <c r="D141" s="495"/>
      <c r="F141" s="383" t="s">
        <v>504</v>
      </c>
    </row>
    <row r="142" spans="2:6" ht="13.5" thickBot="1">
      <c r="B142" s="352" t="s">
        <v>152</v>
      </c>
      <c r="C142" s="546" t="s">
        <v>573</v>
      </c>
      <c r="D142" s="499" t="s">
        <v>501</v>
      </c>
      <c r="F142" s="383">
        <v>2855183795.9099998</v>
      </c>
    </row>
    <row r="143" spans="2:6" ht="13.5" thickBot="1">
      <c r="B143" s="401"/>
      <c r="C143" s="412"/>
      <c r="D143" s="475"/>
      <c r="F143" s="383" t="s">
        <v>505</v>
      </c>
    </row>
    <row r="144" spans="2:6">
      <c r="B144" s="346" t="s">
        <v>47</v>
      </c>
      <c r="C144" s="436">
        <v>62803994.089999996</v>
      </c>
      <c r="D144" s="436">
        <v>48400374.119999997</v>
      </c>
      <c r="E144" s="372">
        <f>C145+C146-35401338.68</f>
        <v>16493182.020000003</v>
      </c>
    </row>
    <row r="145" spans="2:9">
      <c r="B145" s="382" t="s">
        <v>101</v>
      </c>
      <c r="C145" s="434">
        <v>51894520.700000003</v>
      </c>
      <c r="D145" s="434">
        <f>8343941.33</f>
        <v>8343941.3300000001</v>
      </c>
      <c r="F145" s="372">
        <f>35400338.61-C146-4045284.89</f>
        <v>31355053.719999999</v>
      </c>
    </row>
    <row r="146" spans="2:9">
      <c r="B146" s="346" t="s">
        <v>116</v>
      </c>
      <c r="C146" s="434">
        <v>0</v>
      </c>
      <c r="D146" s="434">
        <v>23012112.390000001</v>
      </c>
      <c r="E146" s="343" t="s">
        <v>511</v>
      </c>
    </row>
    <row r="147" spans="2:9">
      <c r="B147" s="350" t="s">
        <v>117</v>
      </c>
      <c r="C147" s="434">
        <v>0</v>
      </c>
      <c r="D147" s="434"/>
      <c r="I147" s="397"/>
    </row>
    <row r="148" spans="2:9">
      <c r="B148" s="349" t="s">
        <v>335</v>
      </c>
      <c r="C148" s="434">
        <v>0</v>
      </c>
      <c r="D148" s="434">
        <v>0</v>
      </c>
      <c r="E148" s="372">
        <f>C145+C146+4045284.96</f>
        <v>55939805.660000004</v>
      </c>
      <c r="I148" s="372"/>
    </row>
    <row r="149" spans="2:9">
      <c r="B149" s="349" t="s">
        <v>182</v>
      </c>
      <c r="C149" s="434">
        <v>1375000</v>
      </c>
      <c r="D149" s="434">
        <v>1375000</v>
      </c>
      <c r="F149" s="372">
        <f>C146+C149+C150+C153+C117</f>
        <v>1234246840</v>
      </c>
    </row>
    <row r="150" spans="2:9">
      <c r="B150" s="349" t="s">
        <v>95</v>
      </c>
      <c r="C150" s="434">
        <v>12000000</v>
      </c>
      <c r="D150" s="434">
        <v>12000000</v>
      </c>
    </row>
    <row r="151" spans="2:9">
      <c r="B151" s="349" t="s">
        <v>564</v>
      </c>
      <c r="C151" s="434">
        <v>9969950</v>
      </c>
      <c r="D151" s="434">
        <v>0</v>
      </c>
    </row>
    <row r="152" spans="2:9">
      <c r="B152" s="349" t="s">
        <v>106</v>
      </c>
      <c r="C152" s="434">
        <v>1776738.8</v>
      </c>
      <c r="D152" s="434">
        <v>1409709.8</v>
      </c>
      <c r="F152" s="372">
        <f>[1]Finacle!$D$80-C149-C150</f>
        <v>1340190575</v>
      </c>
    </row>
    <row r="153" spans="2:9">
      <c r="B153" s="349" t="s">
        <v>151</v>
      </c>
      <c r="C153" s="434">
        <v>0</v>
      </c>
      <c r="D153" s="434">
        <v>0</v>
      </c>
    </row>
    <row r="154" spans="2:9" ht="13.5" thickBot="1">
      <c r="B154" s="398"/>
      <c r="C154" s="438">
        <f>SUM(C144:C153)</f>
        <v>139820203.59</v>
      </c>
      <c r="D154" s="501">
        <f t="shared" ref="D154" si="7">SUM(D144:D153)</f>
        <v>94541137.640000001</v>
      </c>
    </row>
    <row r="155" spans="2:9">
      <c r="B155" s="343"/>
      <c r="C155" s="544"/>
    </row>
    <row r="156" spans="2:9" ht="13.5" thickBot="1">
      <c r="B156" s="343"/>
      <c r="C156" s="544"/>
    </row>
    <row r="157" spans="2:9" ht="15.75" customHeight="1" thickBot="1">
      <c r="B157" s="677" t="s">
        <v>431</v>
      </c>
      <c r="C157" s="678"/>
      <c r="D157" s="679"/>
      <c r="F157" s="343">
        <v>34098152.950000003</v>
      </c>
    </row>
    <row r="158" spans="2:9" ht="13.5" thickBot="1">
      <c r="B158" s="345"/>
      <c r="C158" s="545"/>
      <c r="D158" s="495"/>
      <c r="F158" s="343">
        <v>282515.18</v>
      </c>
    </row>
    <row r="159" spans="2:9" ht="13.5" thickBot="1">
      <c r="B159" s="352" t="s">
        <v>152</v>
      </c>
      <c r="C159" s="546" t="s">
        <v>573</v>
      </c>
      <c r="D159" s="499" t="s">
        <v>501</v>
      </c>
      <c r="F159" s="343">
        <f>F157+F158</f>
        <v>34380668.130000003</v>
      </c>
    </row>
    <row r="160" spans="2:9">
      <c r="B160" s="346"/>
      <c r="C160" s="437"/>
      <c r="D160" s="475"/>
    </row>
    <row r="161" spans="2:6">
      <c r="B161" s="346" t="s">
        <v>27</v>
      </c>
      <c r="C161" s="434">
        <v>104087872.94</v>
      </c>
      <c r="D161" s="434">
        <v>125991569.48</v>
      </c>
    </row>
    <row r="162" spans="2:6">
      <c r="B162" s="346" t="s">
        <v>338</v>
      </c>
      <c r="C162" s="434">
        <v>2196650.0499999998</v>
      </c>
      <c r="D162" s="434">
        <v>2214610.38</v>
      </c>
    </row>
    <row r="163" spans="2:6" ht="13.5" thickBot="1">
      <c r="B163" s="347"/>
      <c r="C163" s="438">
        <f>SUM(C161:C162)</f>
        <v>106284522.98999999</v>
      </c>
      <c r="D163" s="501">
        <f>SUM(D161:D162)</f>
        <v>128206179.86</v>
      </c>
    </row>
    <row r="164" spans="2:6">
      <c r="B164" s="343"/>
      <c r="C164" s="544"/>
      <c r="F164" s="372">
        <f>C161+C177</f>
        <v>7329877559.6700001</v>
      </c>
    </row>
    <row r="165" spans="2:6" ht="13.5" thickBot="1">
      <c r="B165" s="343"/>
      <c r="C165" s="544"/>
    </row>
    <row r="166" spans="2:6" ht="15.75" customHeight="1" thickBot="1">
      <c r="B166" s="677" t="s">
        <v>432</v>
      </c>
      <c r="C166" s="678"/>
      <c r="D166" s="679"/>
    </row>
    <row r="167" spans="2:6" ht="13.5" thickBot="1">
      <c r="B167" s="345"/>
      <c r="C167" s="545"/>
      <c r="D167" s="495"/>
    </row>
    <row r="168" spans="2:6" ht="13.5" thickBot="1">
      <c r="B168" s="352" t="s">
        <v>152</v>
      </c>
      <c r="C168" s="546" t="s">
        <v>573</v>
      </c>
      <c r="D168" s="499" t="s">
        <v>501</v>
      </c>
    </row>
    <row r="169" spans="2:6">
      <c r="B169" s="346"/>
      <c r="C169" s="412"/>
      <c r="D169" s="475"/>
    </row>
    <row r="170" spans="2:6">
      <c r="B170" s="351" t="s">
        <v>61</v>
      </c>
      <c r="C170" s="439">
        <f>+SUM(C171:C172)</f>
        <v>4609995012.1400003</v>
      </c>
      <c r="D170" s="498">
        <f t="shared" ref="D170" si="8">+SUM(D171:D172)</f>
        <v>4189664503.0599999</v>
      </c>
    </row>
    <row r="171" spans="2:6">
      <c r="B171" s="346" t="s">
        <v>23</v>
      </c>
      <c r="C171" s="434">
        <v>1535069056.51</v>
      </c>
      <c r="D171" s="434">
        <v>1334734247.8299999</v>
      </c>
    </row>
    <row r="172" spans="2:6">
      <c r="B172" s="346" t="s">
        <v>24</v>
      </c>
      <c r="C172" s="434">
        <v>3074925955.6300001</v>
      </c>
      <c r="D172" s="434">
        <v>2854930255.23</v>
      </c>
    </row>
    <row r="173" spans="2:6">
      <c r="B173" s="346"/>
      <c r="C173" s="434"/>
      <c r="D173" s="479"/>
    </row>
    <row r="174" spans="2:6">
      <c r="B174" s="351" t="s">
        <v>62</v>
      </c>
      <c r="C174" s="440">
        <f>+SUM(C175:C176)</f>
        <v>2615794674.5900002</v>
      </c>
      <c r="D174" s="503">
        <f t="shared" ref="D174" si="9">+SUM(D175:D176)</f>
        <v>2573736228.5900002</v>
      </c>
    </row>
    <row r="175" spans="2:6">
      <c r="B175" s="346" t="s">
        <v>25</v>
      </c>
      <c r="C175" s="434">
        <v>2436605060.5900002</v>
      </c>
      <c r="D175" s="434">
        <v>2385884342.5900002</v>
      </c>
      <c r="E175" s="372"/>
    </row>
    <row r="176" spans="2:6">
      <c r="B176" s="346" t="s">
        <v>26</v>
      </c>
      <c r="C176" s="434">
        <v>179189614</v>
      </c>
      <c r="D176" s="434">
        <v>187851886</v>
      </c>
    </row>
    <row r="177" spans="2:5" ht="13.5" thickBot="1">
      <c r="B177" s="347"/>
      <c r="C177" s="438">
        <f>+C174+C170</f>
        <v>7225789686.7300005</v>
      </c>
      <c r="D177" s="501">
        <f t="shared" ref="D177" si="10">+D174+D170</f>
        <v>6763400731.6499996</v>
      </c>
    </row>
    <row r="178" spans="2:5">
      <c r="B178" s="343"/>
      <c r="C178" s="544"/>
    </row>
    <row r="179" spans="2:5" ht="13.5" thickBot="1">
      <c r="B179" s="343"/>
      <c r="C179" s="544"/>
    </row>
    <row r="180" spans="2:5" ht="15.75" customHeight="1" thickBot="1">
      <c r="B180" s="677" t="s">
        <v>433</v>
      </c>
      <c r="C180" s="678"/>
      <c r="D180" s="679"/>
    </row>
    <row r="181" spans="2:5" ht="13.5" thickBot="1">
      <c r="B181" s="345"/>
      <c r="C181" s="545"/>
      <c r="D181" s="495"/>
    </row>
    <row r="182" spans="2:5" ht="13.5" thickBot="1">
      <c r="B182" s="352" t="s">
        <v>152</v>
      </c>
      <c r="C182" s="546" t="s">
        <v>573</v>
      </c>
      <c r="D182" s="499" t="s">
        <v>501</v>
      </c>
    </row>
    <row r="183" spans="2:5">
      <c r="B183" s="348"/>
      <c r="C183" s="567"/>
      <c r="D183" s="487"/>
    </row>
    <row r="184" spans="2:5">
      <c r="B184" s="346" t="s">
        <v>506</v>
      </c>
      <c r="C184" s="560"/>
      <c r="D184" s="475"/>
    </row>
    <row r="185" spans="2:5">
      <c r="B185" s="346" t="s">
        <v>322</v>
      </c>
      <c r="C185" s="480">
        <v>178800000</v>
      </c>
      <c r="D185" s="480">
        <v>207600000</v>
      </c>
      <c r="E185" s="372"/>
    </row>
    <row r="186" spans="2:5" ht="13.5" thickBot="1">
      <c r="B186" s="347"/>
      <c r="C186" s="565">
        <f>SUM(C185:C185)</f>
        <v>178800000</v>
      </c>
      <c r="D186" s="502">
        <f>SUM(D185:D185)</f>
        <v>207600000</v>
      </c>
      <c r="E186" s="372"/>
    </row>
    <row r="187" spans="2:5">
      <c r="B187" s="343"/>
      <c r="C187" s="544"/>
    </row>
    <row r="188" spans="2:5" ht="13.5" thickBot="1">
      <c r="B188" s="343"/>
      <c r="C188" s="544"/>
    </row>
    <row r="189" spans="2:5" ht="15.75" customHeight="1" thickBot="1">
      <c r="B189" s="677" t="s">
        <v>434</v>
      </c>
      <c r="C189" s="678"/>
      <c r="D189" s="679"/>
    </row>
    <row r="190" spans="2:5" ht="13.5" thickBot="1">
      <c r="B190" s="345"/>
      <c r="C190" s="545"/>
      <c r="D190" s="495"/>
    </row>
    <row r="191" spans="2:5" ht="13.5" thickBot="1">
      <c r="B191" s="352" t="s">
        <v>152</v>
      </c>
      <c r="C191" s="546" t="s">
        <v>573</v>
      </c>
      <c r="D191" s="499" t="s">
        <v>501</v>
      </c>
    </row>
    <row r="192" spans="2:5">
      <c r="B192" s="346"/>
      <c r="C192" s="412"/>
      <c r="D192" s="475"/>
    </row>
    <row r="193" spans="2:9">
      <c r="B193" s="346" t="s">
        <v>314</v>
      </c>
      <c r="C193" s="434">
        <v>146043933.62</v>
      </c>
      <c r="D193" s="434">
        <v>122903134.56999999</v>
      </c>
      <c r="F193" s="397">
        <f>[1]Finacle!$C$23</f>
        <v>122903134.56999999</v>
      </c>
      <c r="G193" s="372">
        <f>F193-C193</f>
        <v>-23140799.050000012</v>
      </c>
    </row>
    <row r="194" spans="2:9">
      <c r="B194" s="346" t="s">
        <v>316</v>
      </c>
      <c r="C194" s="434">
        <v>22077327.829999998</v>
      </c>
      <c r="D194" s="434">
        <v>25911428.09</v>
      </c>
      <c r="F194" s="397">
        <f>[1]Finacle!$C$33</f>
        <v>26143923.75</v>
      </c>
      <c r="G194" s="372">
        <f>F194-C194</f>
        <v>4066595.9200000018</v>
      </c>
      <c r="I194" s="372"/>
    </row>
    <row r="195" spans="2:9">
      <c r="B195" s="346" t="s">
        <v>315</v>
      </c>
      <c r="C195" s="434">
        <v>205605098.40000001</v>
      </c>
      <c r="D195" s="434">
        <v>243760818.31999999</v>
      </c>
      <c r="E195" s="372"/>
      <c r="F195" s="397">
        <f>[1]Finacle!$C$17+[1]Finacle!$C$18+[1]Finacle!$C$25+[1]Finacle!$C$28+[1]Finacle!$C$37</f>
        <v>148918065.31999999</v>
      </c>
      <c r="G195" s="372">
        <f>F195-C195</f>
        <v>-56687033.080000013</v>
      </c>
      <c r="I195" s="372"/>
    </row>
    <row r="196" spans="2:9" ht="13.5" thickBot="1">
      <c r="B196" s="347"/>
      <c r="C196" s="438">
        <f>SUM(C193:C195)</f>
        <v>373726359.85000002</v>
      </c>
      <c r="D196" s="501">
        <f t="shared" ref="D196" si="11">SUM(D193:D195)</f>
        <v>392575380.98000002</v>
      </c>
      <c r="G196" s="372">
        <f>F196-C196</f>
        <v>-373726359.85000002</v>
      </c>
    </row>
    <row r="197" spans="2:9">
      <c r="B197" s="343"/>
      <c r="C197" s="544"/>
      <c r="G197" s="372">
        <f>F197-C197</f>
        <v>0</v>
      </c>
    </row>
    <row r="198" spans="2:9" ht="13.5" thickBot="1">
      <c r="B198" s="343"/>
      <c r="C198" s="544"/>
    </row>
    <row r="199" spans="2:9" ht="15.75" customHeight="1" thickBot="1">
      <c r="B199" s="677" t="s">
        <v>435</v>
      </c>
      <c r="C199" s="678"/>
      <c r="D199" s="679"/>
    </row>
    <row r="200" spans="2:9" ht="13.5" thickBot="1">
      <c r="B200" s="345"/>
      <c r="C200" s="545"/>
      <c r="D200" s="495"/>
      <c r="F200" s="397">
        <f>[1]Finacle!$C$17+[1]Finacle!$C$18+[1]Finacle!$C$25+[1]Finacle!$C$28+[1]Finacle!$C$37</f>
        <v>148918065.31999999</v>
      </c>
    </row>
    <row r="201" spans="2:9" ht="13.5" thickBot="1">
      <c r="B201" s="352" t="s">
        <v>152</v>
      </c>
      <c r="C201" s="546" t="s">
        <v>573</v>
      </c>
      <c r="D201" s="499" t="s">
        <v>501</v>
      </c>
    </row>
    <row r="202" spans="2:9">
      <c r="B202" s="346"/>
      <c r="C202" s="412"/>
      <c r="D202" s="475"/>
    </row>
    <row r="203" spans="2:9">
      <c r="B203" s="346" t="s">
        <v>85</v>
      </c>
      <c r="C203" s="434">
        <v>5671840</v>
      </c>
      <c r="D203" s="434">
        <v>5671840</v>
      </c>
      <c r="F203" s="372">
        <f>C203-D203</f>
        <v>0</v>
      </c>
    </row>
    <row r="204" spans="2:9">
      <c r="B204" s="346" t="s">
        <v>317</v>
      </c>
      <c r="C204" s="434">
        <v>46262209.39395</v>
      </c>
      <c r="D204" s="381">
        <f>43404342.17-0.02</f>
        <v>43404342.149999999</v>
      </c>
      <c r="E204" s="410">
        <f>C204-40978965.02</f>
        <v>5283244.3739499971</v>
      </c>
    </row>
    <row r="205" spans="2:9">
      <c r="B205" s="346" t="s">
        <v>318</v>
      </c>
      <c r="C205" s="434">
        <v>193462304.09</v>
      </c>
      <c r="D205" s="381">
        <v>111704432.15000001</v>
      </c>
      <c r="E205" s="410">
        <f>C205-90829369</f>
        <v>102632935.09</v>
      </c>
      <c r="F205" s="372">
        <f>C203</f>
        <v>5671840</v>
      </c>
    </row>
    <row r="206" spans="2:9">
      <c r="B206" s="346" t="s">
        <v>319</v>
      </c>
      <c r="C206" s="568">
        <v>0</v>
      </c>
      <c r="D206" s="379">
        <v>0</v>
      </c>
      <c r="E206" s="372">
        <f>SUM(E204:E205)</f>
        <v>107916179.46395001</v>
      </c>
      <c r="F206" s="372">
        <f>D203</f>
        <v>5671840</v>
      </c>
    </row>
    <row r="207" spans="2:9" ht="13.5" thickBot="1">
      <c r="B207" s="347"/>
      <c r="C207" s="501">
        <f t="shared" ref="C207:D207" si="12">SUM(C203:C206)</f>
        <v>245396353.48395002</v>
      </c>
      <c r="D207" s="501">
        <f t="shared" si="12"/>
        <v>160780614.30000001</v>
      </c>
      <c r="F207" s="372">
        <f>F205-F206</f>
        <v>0</v>
      </c>
    </row>
    <row r="208" spans="2:9">
      <c r="B208" s="343"/>
      <c r="C208" s="544"/>
    </row>
    <row r="209" spans="2:6" ht="13.5" thickBot="1">
      <c r="B209" s="343"/>
      <c r="C209" s="544"/>
    </row>
    <row r="210" spans="2:6" ht="15.75" customHeight="1" thickBot="1">
      <c r="B210" s="677" t="s">
        <v>436</v>
      </c>
      <c r="C210" s="678"/>
      <c r="D210" s="679"/>
      <c r="F210" s="372"/>
    </row>
    <row r="211" spans="2:6" ht="13.5" thickBot="1">
      <c r="B211" s="345"/>
      <c r="C211" s="545"/>
      <c r="D211" s="495"/>
    </row>
    <row r="212" spans="2:6" ht="13.5" thickBot="1">
      <c r="B212" s="352" t="s">
        <v>152</v>
      </c>
      <c r="C212" s="546" t="s">
        <v>573</v>
      </c>
      <c r="D212" s="499" t="s">
        <v>501</v>
      </c>
    </row>
    <row r="213" spans="2:6">
      <c r="B213" s="346"/>
      <c r="C213" s="437"/>
      <c r="D213" s="475"/>
    </row>
    <row r="214" spans="2:6">
      <c r="B214" s="353" t="s">
        <v>344</v>
      </c>
      <c r="C214" s="434">
        <v>0</v>
      </c>
      <c r="D214" s="381">
        <v>14604649.08</v>
      </c>
    </row>
    <row r="215" spans="2:6">
      <c r="B215" s="346" t="s">
        <v>343</v>
      </c>
      <c r="C215" s="434">
        <v>0</v>
      </c>
      <c r="D215" s="381">
        <v>14551804.42</v>
      </c>
    </row>
    <row r="216" spans="2:6" ht="13.5" thickBot="1">
      <c r="B216" s="351" t="s">
        <v>437</v>
      </c>
      <c r="C216" s="434">
        <v>0</v>
      </c>
      <c r="D216" s="381">
        <f>+D214-D215</f>
        <v>52844.660000000149</v>
      </c>
    </row>
    <row r="217" spans="2:6" ht="13.5" thickBot="1">
      <c r="B217" s="351" t="s">
        <v>438</v>
      </c>
      <c r="C217" s="569">
        <f>ROUND(C216*30%,0)</f>
        <v>0</v>
      </c>
      <c r="D217" s="363">
        <f t="shared" ref="D217" si="13">ROUND(D216*30%,0)</f>
        <v>15853</v>
      </c>
    </row>
    <row r="218" spans="2:6" ht="13.5" thickBot="1">
      <c r="B218" s="347"/>
      <c r="C218" s="570">
        <f>SUM(C214:C217)</f>
        <v>0</v>
      </c>
      <c r="D218" s="504">
        <f t="shared" ref="D218" si="14">SUM(D214:D217)</f>
        <v>29225151.16</v>
      </c>
    </row>
    <row r="219" spans="2:6">
      <c r="B219" s="343"/>
      <c r="C219" s="544"/>
    </row>
    <row r="220" spans="2:6" ht="13.5" thickBot="1">
      <c r="B220" s="343"/>
      <c r="C220" s="544"/>
    </row>
    <row r="221" spans="2:6" ht="15.75" customHeight="1" thickBot="1">
      <c r="B221" s="677" t="s">
        <v>440</v>
      </c>
      <c r="C221" s="678"/>
      <c r="D221" s="679"/>
    </row>
    <row r="222" spans="2:6" ht="13.5" thickBot="1">
      <c r="B222" s="345"/>
      <c r="C222" s="545"/>
      <c r="D222" s="495"/>
    </row>
    <row r="223" spans="2:6" ht="13.5" thickBot="1">
      <c r="B223" s="352" t="s">
        <v>152</v>
      </c>
      <c r="C223" s="546" t="s">
        <v>573</v>
      </c>
      <c r="D223" s="499" t="s">
        <v>501</v>
      </c>
    </row>
    <row r="224" spans="2:6">
      <c r="B224" s="346"/>
      <c r="C224" s="437"/>
      <c r="D224" s="475"/>
    </row>
    <row r="225" spans="2:8">
      <c r="B225" s="353" t="s">
        <v>441</v>
      </c>
      <c r="C225" s="434">
        <f>'income statement'!G45</f>
        <v>86785205.497235</v>
      </c>
      <c r="D225" s="381">
        <v>139206248.03499997</v>
      </c>
    </row>
    <row r="226" spans="2:8">
      <c r="B226" s="346" t="s">
        <v>442</v>
      </c>
      <c r="C226" s="434">
        <v>45000000</v>
      </c>
      <c r="D226" s="381">
        <v>44971230</v>
      </c>
    </row>
    <row r="227" spans="2:8">
      <c r="B227" s="351" t="s">
        <v>443</v>
      </c>
      <c r="C227" s="434">
        <v>0</v>
      </c>
      <c r="D227" s="381">
        <v>28770</v>
      </c>
    </row>
    <row r="228" spans="2:8" ht="13.5" thickBot="1">
      <c r="B228" s="351"/>
      <c r="C228" s="440"/>
      <c r="D228" s="503"/>
    </row>
    <row r="229" spans="2:8" ht="13.5" thickBot="1">
      <c r="B229" s="347" t="s">
        <v>444</v>
      </c>
      <c r="C229" s="569">
        <f>+C227+C226</f>
        <v>45000000</v>
      </c>
      <c r="D229" s="505">
        <f t="shared" ref="D229" si="15">+D227+D226</f>
        <v>45000000</v>
      </c>
    </row>
    <row r="230" spans="2:8" ht="13.5" thickBot="1">
      <c r="B230" s="506" t="s">
        <v>445</v>
      </c>
      <c r="C230" s="571">
        <f>+C225/C229*1</f>
        <v>1.9285601221607778</v>
      </c>
      <c r="D230" s="507">
        <f>+D225/D229*1</f>
        <v>3.093472178555555</v>
      </c>
    </row>
    <row r="231" spans="2:8">
      <c r="B231" s="167" t="s">
        <v>17</v>
      </c>
      <c r="D231" s="167"/>
      <c r="E231" s="167"/>
      <c r="F231" s="167"/>
      <c r="G231" s="167" t="s">
        <v>537</v>
      </c>
      <c r="H231" s="167"/>
    </row>
    <row r="232" spans="2:8">
      <c r="B232" s="167" t="s">
        <v>135</v>
      </c>
      <c r="C232" s="686" t="s">
        <v>549</v>
      </c>
      <c r="D232" s="686"/>
      <c r="E232" s="167"/>
      <c r="F232" s="171"/>
      <c r="G232" s="167"/>
      <c r="H232" s="170"/>
    </row>
    <row r="233" spans="2:8">
      <c r="B233" s="167" t="s">
        <v>538</v>
      </c>
      <c r="C233" s="573"/>
      <c r="D233" s="167"/>
      <c r="E233" s="167"/>
      <c r="F233" s="167"/>
      <c r="G233" s="170"/>
      <c r="H233" s="167"/>
    </row>
    <row r="234" spans="2:8">
      <c r="B234" s="167"/>
      <c r="C234" s="573"/>
      <c r="D234" s="167"/>
      <c r="E234" s="167"/>
      <c r="F234" s="167"/>
      <c r="G234" s="170"/>
      <c r="H234" s="167"/>
    </row>
    <row r="235" spans="2:8">
      <c r="B235" s="167"/>
      <c r="C235" s="573"/>
      <c r="D235" s="167"/>
      <c r="E235" s="167"/>
      <c r="F235" s="167"/>
      <c r="G235" s="170"/>
      <c r="H235" s="167"/>
    </row>
    <row r="236" spans="2:8">
      <c r="B236" s="167" t="s">
        <v>494</v>
      </c>
      <c r="C236" s="391" t="s">
        <v>497</v>
      </c>
      <c r="D236" s="170" t="s">
        <v>541</v>
      </c>
      <c r="E236" s="167"/>
      <c r="F236" s="167"/>
      <c r="G236" s="170"/>
      <c r="H236" s="167"/>
    </row>
    <row r="237" spans="2:8">
      <c r="B237" s="167" t="s">
        <v>539</v>
      </c>
      <c r="E237" s="170" t="s">
        <v>496</v>
      </c>
      <c r="F237" s="167"/>
      <c r="G237" s="375" t="s">
        <v>495</v>
      </c>
      <c r="H237" s="376" t="s">
        <v>530</v>
      </c>
    </row>
    <row r="238" spans="2:8">
      <c r="C238" s="573"/>
      <c r="D238" s="167"/>
      <c r="E238" s="167"/>
      <c r="F238" s="167"/>
      <c r="G238" s="167"/>
      <c r="H238" s="167"/>
    </row>
    <row r="239" spans="2:8">
      <c r="C239" s="573"/>
      <c r="D239" s="167"/>
      <c r="E239" s="167"/>
      <c r="F239" s="167"/>
      <c r="G239" s="167"/>
      <c r="H239" s="186"/>
    </row>
    <row r="240" spans="2:8">
      <c r="B240" s="167"/>
      <c r="C240" s="573"/>
      <c r="D240" s="167"/>
    </row>
    <row r="241" spans="2:4">
      <c r="B241" s="167"/>
      <c r="C241" s="573"/>
      <c r="D241" s="167"/>
    </row>
    <row r="242" spans="2:4">
      <c r="B242" s="167"/>
      <c r="C242" s="573"/>
      <c r="D242" s="167"/>
    </row>
    <row r="243" spans="2:4">
      <c r="B243" s="167"/>
      <c r="C243" s="574"/>
      <c r="D243" s="186"/>
    </row>
    <row r="244" spans="2:4">
      <c r="B244" s="167"/>
    </row>
    <row r="245" spans="2:4">
      <c r="B245" s="167"/>
    </row>
    <row r="246" spans="2:4">
      <c r="B246" s="188"/>
    </row>
    <row r="247" spans="2:4">
      <c r="B247" s="212"/>
    </row>
    <row r="248" spans="2:4">
      <c r="B248" s="212"/>
    </row>
    <row r="249" spans="2:4">
      <c r="B249" s="210"/>
    </row>
  </sheetData>
  <customSheetViews>
    <customSheetView guid="{9A88D99D-9CFD-4D2A-BD86-16F4695A8B22}">
      <selection activeCell="A10" sqref="A10"/>
      <pageMargins left="0.7" right="0.7" top="0.75" bottom="0.75" header="0.3" footer="0.3"/>
      <pageSetup paperSize="9" orientation="portrait" r:id="rId1"/>
    </customSheetView>
  </customSheetViews>
  <mergeCells count="25">
    <mergeCell ref="C232:D232"/>
    <mergeCell ref="B210:D210"/>
    <mergeCell ref="B221:D221"/>
    <mergeCell ref="A1:D1"/>
    <mergeCell ref="B12:D12"/>
    <mergeCell ref="B3:D3"/>
    <mergeCell ref="B16:D16"/>
    <mergeCell ref="B24:D24"/>
    <mergeCell ref="B32:D32"/>
    <mergeCell ref="B121:D121"/>
    <mergeCell ref="B140:D140"/>
    <mergeCell ref="B157:D157"/>
    <mergeCell ref="B166:D166"/>
    <mergeCell ref="B180:D180"/>
    <mergeCell ref="B189:D189"/>
    <mergeCell ref="B199:D199"/>
    <mergeCell ref="B133:D133"/>
    <mergeCell ref="B90:D90"/>
    <mergeCell ref="B93:D93"/>
    <mergeCell ref="B109:D109"/>
    <mergeCell ref="B42:D42"/>
    <mergeCell ref="B54:D54"/>
    <mergeCell ref="B61:D61"/>
    <mergeCell ref="B65:D65"/>
    <mergeCell ref="B78:D78"/>
  </mergeCells>
  <pageMargins left="0.37" right="0.18" top="0.3" bottom="0.36" header="0.3" footer="0.3"/>
  <pageSetup paperSize="9" scale="69" orientation="portrait" r:id="rId2"/>
  <rowBreaks count="2" manualBreakCount="2">
    <brk id="76" max="3" man="1"/>
    <brk id="164" max="3" man="1"/>
  </rowBreaks>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5"/>
  <sheetViews>
    <sheetView topLeftCell="A37" workbookViewId="0">
      <selection activeCell="J55" sqref="J55"/>
    </sheetView>
  </sheetViews>
  <sheetFormatPr defaultColWidth="9.140625" defaultRowHeight="12.75"/>
  <cols>
    <col min="1" max="1" width="9.140625" style="344"/>
    <col min="2" max="2" width="6.7109375" style="344" customWidth="1"/>
    <col min="3" max="3" width="32.5703125" style="344" customWidth="1"/>
    <col min="4" max="4" width="21.42578125" style="344" bestFit="1" customWidth="1"/>
    <col min="5" max="5" width="33.28515625" style="344" bestFit="1" customWidth="1"/>
    <col min="6" max="7" width="27" style="344" customWidth="1"/>
    <col min="8" max="8" width="6.7109375" style="344" customWidth="1"/>
    <col min="9" max="9" width="6.28515625" style="344" customWidth="1"/>
    <col min="10" max="10" width="21.42578125" style="344" bestFit="1" customWidth="1"/>
    <col min="11" max="11" width="33.28515625" style="344" bestFit="1" customWidth="1"/>
    <col min="12" max="13" width="27" style="344" bestFit="1" customWidth="1"/>
    <col min="14" max="16384" width="9.140625" style="344"/>
  </cols>
  <sheetData>
    <row r="1" spans="2:7">
      <c r="B1" s="452"/>
      <c r="C1" s="343"/>
      <c r="D1" s="343"/>
      <c r="E1" s="343"/>
      <c r="F1" s="343"/>
      <c r="G1" s="449"/>
    </row>
    <row r="2" spans="2:7" ht="13.5" thickBot="1">
      <c r="B2" s="710" t="s">
        <v>550</v>
      </c>
      <c r="C2" s="710"/>
      <c r="D2" s="710"/>
      <c r="E2" s="710"/>
      <c r="F2" s="710"/>
      <c r="G2" s="710"/>
    </row>
    <row r="3" spans="2:7" ht="13.5" thickBot="1">
      <c r="B3" s="683" t="s">
        <v>551</v>
      </c>
      <c r="C3" s="684"/>
      <c r="D3" s="684"/>
      <c r="E3" s="684"/>
      <c r="F3" s="684"/>
      <c r="G3" s="685"/>
    </row>
    <row r="4" spans="2:7" ht="13.5" thickBot="1">
      <c r="B4" s="346"/>
      <c r="C4" s="343"/>
      <c r="D4" s="343"/>
      <c r="E4" s="343"/>
      <c r="F4" s="343"/>
      <c r="G4" s="475"/>
    </row>
    <row r="5" spans="2:7" ht="13.5" thickBot="1">
      <c r="B5" s="508" t="s">
        <v>469</v>
      </c>
      <c r="C5" s="360" t="s">
        <v>446</v>
      </c>
      <c r="D5" s="360" t="s">
        <v>447</v>
      </c>
      <c r="E5" s="360" t="s">
        <v>470</v>
      </c>
      <c r="F5" s="360" t="s">
        <v>565</v>
      </c>
      <c r="G5" s="509" t="s">
        <v>520</v>
      </c>
    </row>
    <row r="6" spans="2:7" ht="13.5" thickBot="1">
      <c r="B6" s="510"/>
      <c r="C6" s="705" t="s">
        <v>448</v>
      </c>
      <c r="D6" s="706"/>
      <c r="E6" s="706"/>
      <c r="F6" s="706"/>
      <c r="G6" s="707"/>
    </row>
    <row r="7" spans="2:7">
      <c r="B7" s="511">
        <v>1</v>
      </c>
      <c r="C7" s="357" t="s">
        <v>449</v>
      </c>
      <c r="D7" s="357" t="s">
        <v>450</v>
      </c>
      <c r="E7" s="357" t="s">
        <v>451</v>
      </c>
      <c r="F7" s="402">
        <v>0</v>
      </c>
      <c r="G7" s="402">
        <f>214499307/3</f>
        <v>71499769</v>
      </c>
    </row>
    <row r="8" spans="2:7" ht="13.5" thickBot="1">
      <c r="B8" s="512"/>
      <c r="C8" s="358"/>
      <c r="D8" s="358"/>
      <c r="E8" s="358"/>
      <c r="F8" s="358"/>
      <c r="G8" s="513"/>
    </row>
    <row r="9" spans="2:7" ht="13.5" thickBot="1">
      <c r="B9" s="514"/>
      <c r="C9" s="708" t="s">
        <v>452</v>
      </c>
      <c r="D9" s="708"/>
      <c r="E9" s="708"/>
      <c r="F9" s="708"/>
      <c r="G9" s="709"/>
    </row>
    <row r="10" spans="2:7">
      <c r="B10" s="515">
        <v>2</v>
      </c>
      <c r="C10" s="464" t="s">
        <v>453</v>
      </c>
      <c r="D10" s="464" t="s">
        <v>454</v>
      </c>
      <c r="E10" s="464" t="s">
        <v>41</v>
      </c>
      <c r="F10" s="403">
        <v>1798680.45</v>
      </c>
      <c r="G10" s="403">
        <v>1409248.45</v>
      </c>
    </row>
    <row r="11" spans="2:7">
      <c r="B11" s="702">
        <v>3</v>
      </c>
      <c r="C11" s="703" t="s">
        <v>455</v>
      </c>
      <c r="D11" s="703" t="s">
        <v>456</v>
      </c>
      <c r="E11" s="703" t="s">
        <v>41</v>
      </c>
      <c r="F11" s="704">
        <v>119978413.95999999</v>
      </c>
      <c r="G11" s="704">
        <v>122418350.95999999</v>
      </c>
    </row>
    <row r="12" spans="2:7">
      <c r="B12" s="702"/>
      <c r="C12" s="703"/>
      <c r="D12" s="703"/>
      <c r="E12" s="703"/>
      <c r="F12" s="704"/>
      <c r="G12" s="704"/>
    </row>
    <row r="13" spans="2:7">
      <c r="B13" s="702">
        <v>4</v>
      </c>
      <c r="C13" s="703" t="s">
        <v>457</v>
      </c>
      <c r="D13" s="703" t="s">
        <v>458</v>
      </c>
      <c r="E13" s="703" t="s">
        <v>459</v>
      </c>
      <c r="F13" s="704">
        <v>59448892.009999998</v>
      </c>
      <c r="G13" s="704">
        <v>76467836.540000007</v>
      </c>
    </row>
    <row r="14" spans="2:7">
      <c r="B14" s="702"/>
      <c r="C14" s="703"/>
      <c r="D14" s="703"/>
      <c r="E14" s="703"/>
      <c r="F14" s="704"/>
      <c r="G14" s="704"/>
    </row>
    <row r="15" spans="2:7">
      <c r="B15" s="516">
        <v>5</v>
      </c>
      <c r="C15" s="465" t="s">
        <v>460</v>
      </c>
      <c r="D15" s="465" t="s">
        <v>461</v>
      </c>
      <c r="E15" s="465" t="s">
        <v>451</v>
      </c>
      <c r="F15" s="467">
        <v>15644394.449999999</v>
      </c>
      <c r="G15" s="541">
        <v>10207768.34</v>
      </c>
    </row>
    <row r="16" spans="2:7">
      <c r="B16" s="516">
        <v>6</v>
      </c>
      <c r="C16" s="465" t="s">
        <v>462</v>
      </c>
      <c r="D16" s="465" t="s">
        <v>463</v>
      </c>
      <c r="E16" s="465" t="s">
        <v>39</v>
      </c>
      <c r="F16" s="467">
        <v>11773900.57</v>
      </c>
      <c r="G16" s="541">
        <v>8710702.7100000009</v>
      </c>
    </row>
    <row r="17" spans="2:7" ht="13.5" thickBot="1">
      <c r="B17" s="512"/>
      <c r="C17" s="358"/>
      <c r="D17" s="358"/>
      <c r="E17" s="358"/>
      <c r="F17" s="358"/>
      <c r="G17" s="513"/>
    </row>
    <row r="18" spans="2:7" ht="26.25" thickBot="1">
      <c r="B18" s="514">
        <v>7</v>
      </c>
      <c r="C18" s="708" t="s">
        <v>464</v>
      </c>
      <c r="D18" s="708"/>
      <c r="E18" s="709"/>
      <c r="F18" s="359" t="s">
        <v>566</v>
      </c>
      <c r="G18" s="359" t="s">
        <v>518</v>
      </c>
    </row>
    <row r="19" spans="2:7">
      <c r="B19" s="725"/>
      <c r="C19" s="728" t="s">
        <v>465</v>
      </c>
      <c r="D19" s="728"/>
      <c r="E19" s="464" t="s">
        <v>466</v>
      </c>
      <c r="F19" s="464"/>
      <c r="G19" s="542">
        <v>3409743.31</v>
      </c>
    </row>
    <row r="20" spans="2:7">
      <c r="B20" s="726"/>
      <c r="C20" s="703"/>
      <c r="D20" s="703"/>
      <c r="E20" s="465"/>
      <c r="F20" s="465"/>
      <c r="G20" s="540"/>
    </row>
    <row r="21" spans="2:7" ht="13.5" thickBot="1">
      <c r="B21" s="727"/>
      <c r="C21" s="729"/>
      <c r="D21" s="729"/>
      <c r="E21" s="466" t="s">
        <v>467</v>
      </c>
      <c r="F21" s="466"/>
      <c r="G21" s="543" t="s">
        <v>468</v>
      </c>
    </row>
    <row r="22" spans="2:7" ht="13.5" thickBot="1">
      <c r="B22" s="346"/>
      <c r="C22" s="343"/>
      <c r="D22" s="343"/>
      <c r="E22" s="343"/>
      <c r="F22" s="343"/>
      <c r="G22" s="475"/>
    </row>
    <row r="23" spans="2:7" ht="13.5" thickBot="1">
      <c r="B23" s="683" t="s">
        <v>552</v>
      </c>
      <c r="C23" s="684"/>
      <c r="D23" s="684"/>
      <c r="E23" s="684"/>
      <c r="F23" s="684"/>
      <c r="G23" s="685"/>
    </row>
    <row r="24" spans="2:7" ht="13.5" thickBot="1">
      <c r="B24" s="699" t="s">
        <v>471</v>
      </c>
      <c r="C24" s="700"/>
      <c r="D24" s="700"/>
      <c r="E24" s="700"/>
      <c r="F24" s="700"/>
      <c r="G24" s="701"/>
    </row>
    <row r="25" spans="2:7" ht="13.5" thickBot="1">
      <c r="B25" s="346"/>
      <c r="C25" s="343"/>
      <c r="D25" s="343"/>
      <c r="E25" s="343"/>
      <c r="F25" s="361" t="s">
        <v>476</v>
      </c>
      <c r="G25" s="475"/>
    </row>
    <row r="26" spans="2:7" ht="13.5" thickBot="1">
      <c r="B26" s="462" t="s">
        <v>472</v>
      </c>
      <c r="C26" s="696" t="s">
        <v>474</v>
      </c>
      <c r="D26" s="697"/>
      <c r="E26" s="698"/>
      <c r="F26" s="363">
        <v>274801524.53999996</v>
      </c>
      <c r="G26" s="475"/>
    </row>
    <row r="27" spans="2:7" ht="15.75" customHeight="1" thickBot="1">
      <c r="B27" s="517" t="s">
        <v>473</v>
      </c>
      <c r="C27" s="696" t="s">
        <v>475</v>
      </c>
      <c r="D27" s="697"/>
      <c r="E27" s="698"/>
      <c r="F27" s="363">
        <v>1446005211.3099999</v>
      </c>
      <c r="G27" s="475"/>
    </row>
    <row r="28" spans="2:7" ht="13.5" thickBot="1">
      <c r="B28" s="696" t="s">
        <v>22</v>
      </c>
      <c r="C28" s="697"/>
      <c r="D28" s="697"/>
      <c r="E28" s="698"/>
      <c r="F28" s="483">
        <f>SUM(F26:F27)</f>
        <v>1720806735.8499999</v>
      </c>
      <c r="G28" s="475"/>
    </row>
    <row r="29" spans="2:7" ht="13.5" thickBot="1">
      <c r="B29" s="346"/>
      <c r="C29" s="343"/>
      <c r="D29" s="343"/>
      <c r="E29" s="343"/>
      <c r="F29" s="343"/>
      <c r="G29" s="475"/>
    </row>
    <row r="30" spans="2:7" ht="13.5" thickBot="1">
      <c r="B30" s="683" t="s">
        <v>553</v>
      </c>
      <c r="C30" s="684"/>
      <c r="D30" s="684"/>
      <c r="E30" s="684"/>
      <c r="F30" s="684"/>
      <c r="G30" s="685"/>
    </row>
    <row r="31" spans="2:7">
      <c r="B31" s="346"/>
      <c r="C31" s="343"/>
      <c r="D31" s="343"/>
      <c r="E31" s="343"/>
      <c r="F31" s="343"/>
      <c r="G31" s="475"/>
    </row>
    <row r="32" spans="2:7">
      <c r="B32" s="346" t="s">
        <v>477</v>
      </c>
      <c r="C32" s="343"/>
      <c r="D32" s="343"/>
      <c r="E32" s="343"/>
      <c r="F32" s="343"/>
      <c r="G32" s="475"/>
    </row>
    <row r="33" spans="2:7">
      <c r="B33" s="346"/>
      <c r="C33" s="343"/>
      <c r="D33" s="343"/>
      <c r="E33" s="343"/>
      <c r="F33" s="343"/>
      <c r="G33" s="475"/>
    </row>
    <row r="34" spans="2:7">
      <c r="B34" s="346" t="s">
        <v>472</v>
      </c>
      <c r="C34" s="343" t="s">
        <v>478</v>
      </c>
      <c r="D34" s="343"/>
      <c r="E34" s="343"/>
      <c r="F34" s="343"/>
      <c r="G34" s="475"/>
    </row>
    <row r="35" spans="2:7" ht="13.5" thickBot="1">
      <c r="B35" s="346"/>
      <c r="C35" s="343"/>
      <c r="D35" s="343"/>
      <c r="E35" s="343"/>
      <c r="F35" s="343"/>
      <c r="G35" s="475"/>
    </row>
    <row r="36" spans="2:7" ht="13.5" thickBot="1">
      <c r="B36" s="346"/>
      <c r="C36" s="366" t="s">
        <v>152</v>
      </c>
      <c r="D36" s="367" t="s">
        <v>567</v>
      </c>
      <c r="E36" s="367" t="s">
        <v>519</v>
      </c>
      <c r="F36" s="343"/>
      <c r="G36" s="475"/>
    </row>
    <row r="37" spans="2:7" ht="13.5" thickBot="1">
      <c r="B37" s="346"/>
      <c r="C37" s="368" t="s">
        <v>479</v>
      </c>
      <c r="D37" s="369"/>
      <c r="E37" s="369">
        <v>3409743.31</v>
      </c>
      <c r="F37" s="343"/>
      <c r="G37" s="475"/>
    </row>
    <row r="38" spans="2:7" ht="13.5" thickBot="1">
      <c r="B38" s="346"/>
      <c r="C38" s="368" t="s">
        <v>480</v>
      </c>
      <c r="D38" s="369"/>
      <c r="E38" s="369">
        <v>60000</v>
      </c>
      <c r="F38" s="343"/>
      <c r="G38" s="475"/>
    </row>
    <row r="39" spans="2:7">
      <c r="B39" s="346"/>
      <c r="C39" s="343"/>
      <c r="D39" s="343"/>
      <c r="E39" s="343"/>
      <c r="F39" s="343"/>
      <c r="G39" s="475"/>
    </row>
    <row r="40" spans="2:7">
      <c r="B40" s="346"/>
      <c r="C40" s="343"/>
      <c r="D40" s="343"/>
      <c r="E40" s="343"/>
      <c r="F40" s="343"/>
      <c r="G40" s="475"/>
    </row>
    <row r="41" spans="2:7">
      <c r="B41" s="346" t="s">
        <v>473</v>
      </c>
      <c r="C41" s="343" t="s">
        <v>482</v>
      </c>
      <c r="D41" s="343"/>
      <c r="E41" s="343"/>
      <c r="F41" s="343"/>
      <c r="G41" s="475"/>
    </row>
    <row r="42" spans="2:7" ht="13.5" thickBot="1">
      <c r="B42" s="346"/>
      <c r="C42" s="343"/>
      <c r="D42" s="343"/>
      <c r="E42" s="343"/>
      <c r="F42" s="343"/>
      <c r="G42" s="475"/>
    </row>
    <row r="43" spans="2:7" ht="13.5" thickBot="1">
      <c r="B43" s="346"/>
      <c r="C43" s="366" t="s">
        <v>152</v>
      </c>
      <c r="D43" s="367" t="s">
        <v>567</v>
      </c>
      <c r="E43" s="367" t="s">
        <v>519</v>
      </c>
      <c r="F43" s="343"/>
      <c r="G43" s="475"/>
    </row>
    <row r="44" spans="2:7" ht="13.5" thickBot="1">
      <c r="B44" s="346"/>
      <c r="C44" s="364" t="s">
        <v>481</v>
      </c>
      <c r="D44" s="365">
        <v>0</v>
      </c>
      <c r="E44" s="365">
        <v>275000</v>
      </c>
      <c r="F44" s="343"/>
      <c r="G44" s="475"/>
    </row>
    <row r="45" spans="2:7" ht="13.5" thickBot="1">
      <c r="B45" s="347"/>
      <c r="C45" s="362"/>
      <c r="D45" s="362"/>
      <c r="E45" s="362"/>
      <c r="F45" s="362"/>
      <c r="G45" s="518"/>
    </row>
    <row r="46" spans="2:7" ht="13.5" thickBot="1">
      <c r="B46" s="346"/>
      <c r="C46" s="343"/>
      <c r="D46" s="343"/>
      <c r="E46" s="343"/>
      <c r="F46" s="343"/>
      <c r="G46" s="475"/>
    </row>
    <row r="47" spans="2:7" ht="13.5" thickBot="1">
      <c r="B47" s="683" t="s">
        <v>554</v>
      </c>
      <c r="C47" s="684"/>
      <c r="D47" s="684"/>
      <c r="E47" s="684"/>
      <c r="F47" s="684"/>
      <c r="G47" s="685"/>
    </row>
    <row r="48" spans="2:7">
      <c r="B48" s="714" t="s">
        <v>545</v>
      </c>
      <c r="C48" s="715"/>
      <c r="D48" s="715"/>
      <c r="E48" s="715"/>
      <c r="F48" s="715"/>
      <c r="G48" s="716"/>
    </row>
    <row r="49" spans="2:8" ht="13.5" thickBot="1">
      <c r="B49" s="346"/>
      <c r="C49" s="343"/>
      <c r="D49" s="343"/>
      <c r="E49" s="343"/>
      <c r="F49" s="343"/>
      <c r="G49" s="475"/>
    </row>
    <row r="50" spans="2:8">
      <c r="B50" s="346"/>
      <c r="C50" s="370" t="s">
        <v>483</v>
      </c>
      <c r="D50" s="371" t="s">
        <v>568</v>
      </c>
      <c r="E50" s="371" t="s">
        <v>500</v>
      </c>
      <c r="F50" s="343"/>
      <c r="G50" s="475"/>
    </row>
    <row r="51" spans="2:8" ht="25.5">
      <c r="B51" s="346"/>
      <c r="C51" s="414" t="s">
        <v>484</v>
      </c>
      <c r="D51" s="404"/>
      <c r="E51" s="404">
        <v>-232041</v>
      </c>
      <c r="F51" s="343"/>
      <c r="G51" s="475"/>
    </row>
    <row r="52" spans="2:8">
      <c r="B52" s="346"/>
      <c r="C52" s="414" t="s">
        <v>485</v>
      </c>
      <c r="D52" s="405"/>
      <c r="E52" s="405">
        <v>-15853</v>
      </c>
      <c r="F52" s="343"/>
      <c r="G52" s="475"/>
    </row>
    <row r="53" spans="2:8" ht="25.5">
      <c r="B53" s="346"/>
      <c r="C53" s="414" t="s">
        <v>486</v>
      </c>
      <c r="D53" s="405"/>
      <c r="E53" s="405">
        <v>-247894</v>
      </c>
      <c r="F53" s="343"/>
      <c r="G53" s="475"/>
    </row>
    <row r="54" spans="2:8" ht="13.5" thickBot="1">
      <c r="B54" s="347"/>
      <c r="C54" s="362"/>
      <c r="D54" s="362"/>
      <c r="E54" s="362"/>
      <c r="F54" s="362"/>
      <c r="G54" s="518"/>
    </row>
    <row r="55" spans="2:8" ht="13.5" thickBot="1">
      <c r="B55" s="346"/>
      <c r="C55" s="343"/>
      <c r="D55" s="343"/>
      <c r="E55" s="343"/>
      <c r="F55" s="343"/>
      <c r="G55" s="475"/>
    </row>
    <row r="56" spans="2:8" ht="14.25" customHeight="1" thickBot="1">
      <c r="B56" s="717" t="s">
        <v>556</v>
      </c>
      <c r="C56" s="718"/>
      <c r="D56" s="718"/>
      <c r="E56" s="718"/>
      <c r="F56" s="718"/>
      <c r="G56" s="719"/>
    </row>
    <row r="57" spans="2:8" ht="13.5" thickBot="1">
      <c r="B57" s="346"/>
      <c r="C57" s="343"/>
      <c r="D57" s="343"/>
      <c r="E57" s="343"/>
      <c r="F57" s="343"/>
      <c r="G57" s="475"/>
    </row>
    <row r="58" spans="2:8" ht="15" customHeight="1" thickBot="1">
      <c r="B58" s="720" t="s">
        <v>555</v>
      </c>
      <c r="C58" s="721"/>
      <c r="D58" s="721"/>
      <c r="E58" s="721"/>
      <c r="F58" s="721"/>
      <c r="G58" s="722"/>
    </row>
    <row r="59" spans="2:8" ht="42.75" customHeight="1" thickBot="1">
      <c r="B59" s="690" t="s">
        <v>546</v>
      </c>
      <c r="C59" s="723"/>
      <c r="D59" s="723"/>
      <c r="E59" s="723"/>
      <c r="F59" s="723"/>
      <c r="G59" s="724"/>
    </row>
    <row r="60" spans="2:8" ht="13.5" thickBot="1">
      <c r="B60" s="346"/>
      <c r="C60" s="343"/>
      <c r="D60" s="343"/>
      <c r="E60" s="343"/>
      <c r="F60" s="343"/>
      <c r="G60" s="475"/>
    </row>
    <row r="61" spans="2:8" ht="31.5" customHeight="1" thickBot="1">
      <c r="B61" s="711" t="s">
        <v>557</v>
      </c>
      <c r="C61" s="712"/>
      <c r="D61" s="712"/>
      <c r="E61" s="712"/>
      <c r="F61" s="712"/>
      <c r="G61" s="713"/>
      <c r="H61" s="167"/>
    </row>
    <row r="62" spans="2:8" ht="16.5" customHeight="1">
      <c r="B62" s="167" t="s">
        <v>17</v>
      </c>
      <c r="C62" s="168"/>
      <c r="D62" s="167"/>
      <c r="H62" s="170"/>
    </row>
    <row r="63" spans="2:8">
      <c r="B63" s="167" t="s">
        <v>135</v>
      </c>
      <c r="C63" s="168"/>
      <c r="D63" s="167"/>
      <c r="E63" s="167" t="s">
        <v>537</v>
      </c>
      <c r="F63" s="171"/>
      <c r="G63" s="167"/>
      <c r="H63" s="167"/>
    </row>
    <row r="64" spans="2:8">
      <c r="B64" s="167" t="s">
        <v>538</v>
      </c>
      <c r="C64" s="168"/>
      <c r="D64" s="167"/>
      <c r="E64" s="167"/>
      <c r="F64" s="167"/>
      <c r="G64" s="170"/>
      <c r="H64" s="167"/>
    </row>
    <row r="65" spans="2:8">
      <c r="B65" s="167"/>
      <c r="C65" s="168"/>
      <c r="D65" s="167"/>
      <c r="E65" s="167"/>
      <c r="F65" s="167"/>
      <c r="G65" s="170"/>
      <c r="H65" s="167"/>
    </row>
    <row r="66" spans="2:8">
      <c r="B66" s="167"/>
      <c r="C66" s="168"/>
      <c r="D66" s="167"/>
      <c r="E66" s="167"/>
      <c r="F66" s="167"/>
      <c r="G66" s="170"/>
    </row>
    <row r="67" spans="2:8" ht="13.5" customHeight="1">
      <c r="B67" s="167" t="s">
        <v>494</v>
      </c>
      <c r="C67" s="167"/>
      <c r="D67" s="170"/>
      <c r="E67" s="170" t="s">
        <v>497</v>
      </c>
      <c r="F67" s="375" t="s">
        <v>495</v>
      </c>
      <c r="G67" s="376" t="s">
        <v>530</v>
      </c>
      <c r="H67" s="167"/>
    </row>
    <row r="68" spans="2:8">
      <c r="B68" s="167" t="s">
        <v>539</v>
      </c>
      <c r="C68" s="168"/>
      <c r="D68" s="167"/>
      <c r="E68" s="167"/>
      <c r="F68" s="167"/>
      <c r="G68" s="167"/>
      <c r="H68" s="186"/>
    </row>
    <row r="69" spans="2:8" hidden="1">
      <c r="C69" s="168"/>
      <c r="D69" s="167"/>
      <c r="E69" s="167"/>
      <c r="F69" s="167"/>
      <c r="G69" s="167"/>
    </row>
    <row r="70" spans="2:8">
      <c r="C70" s="167"/>
      <c r="D70" s="167"/>
      <c r="E70" s="170"/>
    </row>
    <row r="71" spans="2:8">
      <c r="C71" s="167"/>
      <c r="D71" s="168"/>
      <c r="E71" s="167"/>
    </row>
    <row r="72" spans="2:8">
      <c r="C72" s="188"/>
      <c r="D72" s="168"/>
      <c r="E72" s="167"/>
    </row>
    <row r="73" spans="2:8">
      <c r="C73" s="212"/>
      <c r="D73" s="168"/>
      <c r="E73" s="167"/>
    </row>
    <row r="74" spans="2:8">
      <c r="C74" s="212"/>
      <c r="D74" s="168"/>
      <c r="E74" s="167"/>
    </row>
    <row r="75" spans="2:8">
      <c r="C75" s="210"/>
      <c r="D75" s="211"/>
      <c r="E75" s="186"/>
    </row>
  </sheetData>
  <mergeCells count="32">
    <mergeCell ref="B2:G2"/>
    <mergeCell ref="B61:G61"/>
    <mergeCell ref="B48:G48"/>
    <mergeCell ref="B56:G56"/>
    <mergeCell ref="D11:D12"/>
    <mergeCell ref="E11:E12"/>
    <mergeCell ref="F11:F12"/>
    <mergeCell ref="B58:G58"/>
    <mergeCell ref="B59:G59"/>
    <mergeCell ref="C26:E26"/>
    <mergeCell ref="B30:G30"/>
    <mergeCell ref="B47:G47"/>
    <mergeCell ref="C18:E18"/>
    <mergeCell ref="B19:B21"/>
    <mergeCell ref="C19:C21"/>
    <mergeCell ref="D19:D21"/>
    <mergeCell ref="C27:E27"/>
    <mergeCell ref="B28:E28"/>
    <mergeCell ref="B3:G3"/>
    <mergeCell ref="B23:G23"/>
    <mergeCell ref="B24:G24"/>
    <mergeCell ref="B13:B14"/>
    <mergeCell ref="C13:C14"/>
    <mergeCell ref="D13:D14"/>
    <mergeCell ref="E13:E14"/>
    <mergeCell ref="F13:F14"/>
    <mergeCell ref="G13:G14"/>
    <mergeCell ref="C6:G6"/>
    <mergeCell ref="C9:G9"/>
    <mergeCell ref="G11:G12"/>
    <mergeCell ref="B11:B12"/>
    <mergeCell ref="C11:C12"/>
  </mergeCells>
  <pageMargins left="0.45" right="0.4" top="0.28000000000000003" bottom="0.2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workbookViewId="0">
      <selection activeCell="E15" sqref="E15"/>
    </sheetView>
  </sheetViews>
  <sheetFormatPr defaultRowHeight="15"/>
  <cols>
    <col min="2" max="2" width="49.5703125" customWidth="1"/>
    <col min="3" max="3" width="32.42578125" bestFit="1" customWidth="1"/>
    <col min="4" max="7" width="12" bestFit="1" customWidth="1"/>
  </cols>
  <sheetData>
    <row r="1" spans="2:8" ht="15.75" thickBot="1">
      <c r="B1" s="732" t="s">
        <v>548</v>
      </c>
      <c r="C1" s="732"/>
    </row>
    <row r="2" spans="2:8" ht="15.75" thickBot="1">
      <c r="B2" s="730" t="s">
        <v>536</v>
      </c>
      <c r="C2" s="731"/>
      <c r="D2" s="459"/>
    </row>
    <row r="3" spans="2:8">
      <c r="B3" s="519"/>
      <c r="C3" s="519"/>
      <c r="D3" s="459"/>
    </row>
    <row r="4" spans="2:8">
      <c r="B4" s="520" t="s">
        <v>227</v>
      </c>
      <c r="C4" s="523"/>
    </row>
    <row r="5" spans="2:8">
      <c r="B5" s="520" t="s">
        <v>531</v>
      </c>
      <c r="C5" s="524"/>
    </row>
    <row r="6" spans="2:8">
      <c r="B6" s="521"/>
      <c r="C6" s="525"/>
      <c r="E6" s="460"/>
    </row>
    <row r="7" spans="2:8">
      <c r="B7" s="520" t="s">
        <v>532</v>
      </c>
      <c r="C7" s="524"/>
    </row>
    <row r="8" spans="2:8">
      <c r="B8" s="520" t="s">
        <v>533</v>
      </c>
      <c r="C8" s="525"/>
    </row>
    <row r="9" spans="2:8" ht="15.75" thickBot="1">
      <c r="B9" s="522" t="s">
        <v>534</v>
      </c>
      <c r="C9" s="526"/>
    </row>
    <row r="10" spans="2:8">
      <c r="B10" s="167" t="s">
        <v>17</v>
      </c>
      <c r="D10" s="167"/>
      <c r="E10" s="167"/>
      <c r="F10" s="167"/>
      <c r="H10" s="167"/>
    </row>
    <row r="11" spans="2:8">
      <c r="B11" s="167" t="s">
        <v>135</v>
      </c>
      <c r="C11" s="167" t="s">
        <v>537</v>
      </c>
      <c r="D11" s="167"/>
      <c r="E11" s="167"/>
      <c r="F11" s="171"/>
      <c r="G11" s="167"/>
      <c r="H11" s="170"/>
    </row>
    <row r="12" spans="2:8">
      <c r="B12" s="167" t="s">
        <v>538</v>
      </c>
      <c r="C12" s="168"/>
      <c r="D12" s="167"/>
      <c r="E12" s="167"/>
      <c r="F12" s="167"/>
      <c r="G12" s="170"/>
      <c r="H12" s="167"/>
    </row>
    <row r="13" spans="2:8">
      <c r="B13" s="167"/>
      <c r="C13" s="168"/>
      <c r="D13" s="167"/>
      <c r="E13" s="167"/>
      <c r="F13" s="167"/>
      <c r="G13" s="170"/>
      <c r="H13" s="167"/>
    </row>
    <row r="14" spans="2:8">
      <c r="B14" s="167"/>
      <c r="C14" s="168"/>
      <c r="D14" s="167"/>
      <c r="E14" s="167"/>
      <c r="F14" s="167"/>
      <c r="G14" s="170"/>
      <c r="H14" s="167"/>
    </row>
    <row r="15" spans="2:8">
      <c r="B15" s="167" t="s">
        <v>494</v>
      </c>
      <c r="C15" s="167" t="s">
        <v>544</v>
      </c>
      <c r="D15" s="167"/>
      <c r="E15" s="167"/>
      <c r="F15" s="167"/>
      <c r="G15" s="170"/>
      <c r="H15" s="167"/>
    </row>
    <row r="16" spans="2:8">
      <c r="B16" s="167" t="s">
        <v>539</v>
      </c>
      <c r="C16" s="168"/>
      <c r="D16" s="167"/>
      <c r="E16" s="167"/>
      <c r="F16" s="167"/>
      <c r="G16" s="170"/>
      <c r="H16" s="167"/>
    </row>
    <row r="17" spans="2:8">
      <c r="B17" s="167"/>
      <c r="D17" s="170"/>
      <c r="F17" s="167"/>
      <c r="G17" s="375"/>
      <c r="H17" s="376"/>
    </row>
    <row r="18" spans="2:8">
      <c r="C18" s="168"/>
      <c r="D18" s="167"/>
      <c r="E18" s="167"/>
      <c r="F18" s="167"/>
      <c r="G18" s="167"/>
      <c r="H18" s="167"/>
    </row>
    <row r="19" spans="2:8">
      <c r="C19" s="168"/>
      <c r="D19" s="167"/>
      <c r="E19" s="167"/>
      <c r="F19" s="167"/>
      <c r="G19" s="167"/>
      <c r="H19" s="186"/>
    </row>
  </sheetData>
  <mergeCells count="2">
    <mergeCell ref="B2:C2"/>
    <mergeCell ref="B1:C1"/>
  </mergeCells>
  <pageMargins left="0.7" right="0.7" top="0.75" bottom="0.75" header="0.3" footer="0.3"/>
  <pageSetup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view="pageBreakPreview" zoomScale="60" workbookViewId="0">
      <selection activeCell="M23" sqref="M23"/>
    </sheetView>
  </sheetViews>
  <sheetFormatPr defaultRowHeight="12.75"/>
  <cols>
    <col min="1" max="1" width="5.140625" style="186" customWidth="1"/>
    <col min="2" max="2" width="38.28515625" style="186" bestFit="1" customWidth="1"/>
    <col min="3" max="3" width="20.85546875" style="186" bestFit="1" customWidth="1"/>
    <col min="4" max="4" width="19.85546875" style="186" bestFit="1" customWidth="1"/>
    <col min="5" max="5" width="7.7109375" style="186" bestFit="1" customWidth="1"/>
    <col min="6" max="6" width="20.42578125" style="186" bestFit="1" customWidth="1"/>
    <col min="7" max="7" width="19.42578125" style="186" bestFit="1" customWidth="1"/>
    <col min="8" max="8" width="18" style="186" bestFit="1" customWidth="1"/>
    <col min="9" max="9" width="13" style="186" customWidth="1"/>
    <col min="10" max="10" width="19.42578125" style="186" bestFit="1" customWidth="1"/>
    <col min="11" max="11" width="16.5703125" style="186" bestFit="1" customWidth="1"/>
    <col min="12" max="254" width="9.140625" style="186"/>
    <col min="255" max="255" width="38.7109375" style="186" bestFit="1" customWidth="1"/>
    <col min="256" max="256" width="16" style="186" bestFit="1" customWidth="1"/>
    <col min="257" max="257" width="14" style="186" bestFit="1" customWidth="1"/>
    <col min="258" max="258" width="13.7109375" style="186" bestFit="1" customWidth="1"/>
    <col min="259" max="259" width="15" style="186" bestFit="1" customWidth="1"/>
    <col min="260" max="261" width="9.140625" style="186"/>
    <col min="262" max="262" width="16.5703125" style="186" bestFit="1" customWidth="1"/>
    <col min="263" max="263" width="9.140625" style="186"/>
    <col min="264" max="264" width="14.28515625" style="186" bestFit="1" customWidth="1"/>
    <col min="265" max="265" width="15" style="186" bestFit="1" customWidth="1"/>
    <col min="266" max="510" width="9.140625" style="186"/>
    <col min="511" max="511" width="38.7109375" style="186" bestFit="1" customWidth="1"/>
    <col min="512" max="512" width="16" style="186" bestFit="1" customWidth="1"/>
    <col min="513" max="513" width="14" style="186" bestFit="1" customWidth="1"/>
    <col min="514" max="514" width="13.7109375" style="186" bestFit="1" customWidth="1"/>
    <col min="515" max="515" width="15" style="186" bestFit="1" customWidth="1"/>
    <col min="516" max="517" width="9.140625" style="186"/>
    <col min="518" max="518" width="16.5703125" style="186" bestFit="1" customWidth="1"/>
    <col min="519" max="519" width="9.140625" style="186"/>
    <col min="520" max="520" width="14.28515625" style="186" bestFit="1" customWidth="1"/>
    <col min="521" max="521" width="15" style="186" bestFit="1" customWidth="1"/>
    <col min="522" max="766" width="9.140625" style="186"/>
    <col min="767" max="767" width="38.7109375" style="186" bestFit="1" customWidth="1"/>
    <col min="768" max="768" width="16" style="186" bestFit="1" customWidth="1"/>
    <col min="769" max="769" width="14" style="186" bestFit="1" customWidth="1"/>
    <col min="770" max="770" width="13.7109375" style="186" bestFit="1" customWidth="1"/>
    <col min="771" max="771" width="15" style="186" bestFit="1" customWidth="1"/>
    <col min="772" max="773" width="9.140625" style="186"/>
    <col min="774" max="774" width="16.5703125" style="186" bestFit="1" customWidth="1"/>
    <col min="775" max="775" width="9.140625" style="186"/>
    <col min="776" max="776" width="14.28515625" style="186" bestFit="1" customWidth="1"/>
    <col min="777" max="777" width="15" style="186" bestFit="1" customWidth="1"/>
    <col min="778" max="1022" width="9.140625" style="186"/>
    <col min="1023" max="1023" width="38.7109375" style="186" bestFit="1" customWidth="1"/>
    <col min="1024" max="1024" width="16" style="186" bestFit="1" customWidth="1"/>
    <col min="1025" max="1025" width="14" style="186" bestFit="1" customWidth="1"/>
    <col min="1026" max="1026" width="13.7109375" style="186" bestFit="1" customWidth="1"/>
    <col min="1027" max="1027" width="15" style="186" bestFit="1" customWidth="1"/>
    <col min="1028" max="1029" width="9.140625" style="186"/>
    <col min="1030" max="1030" width="16.5703125" style="186" bestFit="1" customWidth="1"/>
    <col min="1031" max="1031" width="9.140625" style="186"/>
    <col min="1032" max="1032" width="14.28515625" style="186" bestFit="1" customWidth="1"/>
    <col min="1033" max="1033" width="15" style="186" bestFit="1" customWidth="1"/>
    <col min="1034" max="1278" width="9.140625" style="186"/>
    <col min="1279" max="1279" width="38.7109375" style="186" bestFit="1" customWidth="1"/>
    <col min="1280" max="1280" width="16" style="186" bestFit="1" customWidth="1"/>
    <col min="1281" max="1281" width="14" style="186" bestFit="1" customWidth="1"/>
    <col min="1282" max="1282" width="13.7109375" style="186" bestFit="1" customWidth="1"/>
    <col min="1283" max="1283" width="15" style="186" bestFit="1" customWidth="1"/>
    <col min="1284" max="1285" width="9.140625" style="186"/>
    <col min="1286" max="1286" width="16.5703125" style="186" bestFit="1" customWidth="1"/>
    <col min="1287" max="1287" width="9.140625" style="186"/>
    <col min="1288" max="1288" width="14.28515625" style="186" bestFit="1" customWidth="1"/>
    <col min="1289" max="1289" width="15" style="186" bestFit="1" customWidth="1"/>
    <col min="1290" max="1534" width="9.140625" style="186"/>
    <col min="1535" max="1535" width="38.7109375" style="186" bestFit="1" customWidth="1"/>
    <col min="1536" max="1536" width="16" style="186" bestFit="1" customWidth="1"/>
    <col min="1537" max="1537" width="14" style="186" bestFit="1" customWidth="1"/>
    <col min="1538" max="1538" width="13.7109375" style="186" bestFit="1" customWidth="1"/>
    <col min="1539" max="1539" width="15" style="186" bestFit="1" customWidth="1"/>
    <col min="1540" max="1541" width="9.140625" style="186"/>
    <col min="1542" max="1542" width="16.5703125" style="186" bestFit="1" customWidth="1"/>
    <col min="1543" max="1543" width="9.140625" style="186"/>
    <col min="1544" max="1544" width="14.28515625" style="186" bestFit="1" customWidth="1"/>
    <col min="1545" max="1545" width="15" style="186" bestFit="1" customWidth="1"/>
    <col min="1546" max="1790" width="9.140625" style="186"/>
    <col min="1791" max="1791" width="38.7109375" style="186" bestFit="1" customWidth="1"/>
    <col min="1792" max="1792" width="16" style="186" bestFit="1" customWidth="1"/>
    <col min="1793" max="1793" width="14" style="186" bestFit="1" customWidth="1"/>
    <col min="1794" max="1794" width="13.7109375" style="186" bestFit="1" customWidth="1"/>
    <col min="1795" max="1795" width="15" style="186" bestFit="1" customWidth="1"/>
    <col min="1796" max="1797" width="9.140625" style="186"/>
    <col min="1798" max="1798" width="16.5703125" style="186" bestFit="1" customWidth="1"/>
    <col min="1799" max="1799" width="9.140625" style="186"/>
    <col min="1800" max="1800" width="14.28515625" style="186" bestFit="1" customWidth="1"/>
    <col min="1801" max="1801" width="15" style="186" bestFit="1" customWidth="1"/>
    <col min="1802" max="2046" width="9.140625" style="186"/>
    <col min="2047" max="2047" width="38.7109375" style="186" bestFit="1" customWidth="1"/>
    <col min="2048" max="2048" width="16" style="186" bestFit="1" customWidth="1"/>
    <col min="2049" max="2049" width="14" style="186" bestFit="1" customWidth="1"/>
    <col min="2050" max="2050" width="13.7109375" style="186" bestFit="1" customWidth="1"/>
    <col min="2051" max="2051" width="15" style="186" bestFit="1" customWidth="1"/>
    <col min="2052" max="2053" width="9.140625" style="186"/>
    <col min="2054" max="2054" width="16.5703125" style="186" bestFit="1" customWidth="1"/>
    <col min="2055" max="2055" width="9.140625" style="186"/>
    <col min="2056" max="2056" width="14.28515625" style="186" bestFit="1" customWidth="1"/>
    <col min="2057" max="2057" width="15" style="186" bestFit="1" customWidth="1"/>
    <col min="2058" max="2302" width="9.140625" style="186"/>
    <col min="2303" max="2303" width="38.7109375" style="186" bestFit="1" customWidth="1"/>
    <col min="2304" max="2304" width="16" style="186" bestFit="1" customWidth="1"/>
    <col min="2305" max="2305" width="14" style="186" bestFit="1" customWidth="1"/>
    <col min="2306" max="2306" width="13.7109375" style="186" bestFit="1" customWidth="1"/>
    <col min="2307" max="2307" width="15" style="186" bestFit="1" customWidth="1"/>
    <col min="2308" max="2309" width="9.140625" style="186"/>
    <col min="2310" max="2310" width="16.5703125" style="186" bestFit="1" customWidth="1"/>
    <col min="2311" max="2311" width="9.140625" style="186"/>
    <col min="2312" max="2312" width="14.28515625" style="186" bestFit="1" customWidth="1"/>
    <col min="2313" max="2313" width="15" style="186" bestFit="1" customWidth="1"/>
    <col min="2314" max="2558" width="9.140625" style="186"/>
    <col min="2559" max="2559" width="38.7109375" style="186" bestFit="1" customWidth="1"/>
    <col min="2560" max="2560" width="16" style="186" bestFit="1" customWidth="1"/>
    <col min="2561" max="2561" width="14" style="186" bestFit="1" customWidth="1"/>
    <col min="2562" max="2562" width="13.7109375" style="186" bestFit="1" customWidth="1"/>
    <col min="2563" max="2563" width="15" style="186" bestFit="1" customWidth="1"/>
    <col min="2564" max="2565" width="9.140625" style="186"/>
    <col min="2566" max="2566" width="16.5703125" style="186" bestFit="1" customWidth="1"/>
    <col min="2567" max="2567" width="9.140625" style="186"/>
    <col min="2568" max="2568" width="14.28515625" style="186" bestFit="1" customWidth="1"/>
    <col min="2569" max="2569" width="15" style="186" bestFit="1" customWidth="1"/>
    <col min="2570" max="2814" width="9.140625" style="186"/>
    <col min="2815" max="2815" width="38.7109375" style="186" bestFit="1" customWidth="1"/>
    <col min="2816" max="2816" width="16" style="186" bestFit="1" customWidth="1"/>
    <col min="2817" max="2817" width="14" style="186" bestFit="1" customWidth="1"/>
    <col min="2818" max="2818" width="13.7109375" style="186" bestFit="1" customWidth="1"/>
    <col min="2819" max="2819" width="15" style="186" bestFit="1" customWidth="1"/>
    <col min="2820" max="2821" width="9.140625" style="186"/>
    <col min="2822" max="2822" width="16.5703125" style="186" bestFit="1" customWidth="1"/>
    <col min="2823" max="2823" width="9.140625" style="186"/>
    <col min="2824" max="2824" width="14.28515625" style="186" bestFit="1" customWidth="1"/>
    <col min="2825" max="2825" width="15" style="186" bestFit="1" customWidth="1"/>
    <col min="2826" max="3070" width="9.140625" style="186"/>
    <col min="3071" max="3071" width="38.7109375" style="186" bestFit="1" customWidth="1"/>
    <col min="3072" max="3072" width="16" style="186" bestFit="1" customWidth="1"/>
    <col min="3073" max="3073" width="14" style="186" bestFit="1" customWidth="1"/>
    <col min="3074" max="3074" width="13.7109375" style="186" bestFit="1" customWidth="1"/>
    <col min="3075" max="3075" width="15" style="186" bestFit="1" customWidth="1"/>
    <col min="3076" max="3077" width="9.140625" style="186"/>
    <col min="3078" max="3078" width="16.5703125" style="186" bestFit="1" customWidth="1"/>
    <col min="3079" max="3079" width="9.140625" style="186"/>
    <col min="3080" max="3080" width="14.28515625" style="186" bestFit="1" customWidth="1"/>
    <col min="3081" max="3081" width="15" style="186" bestFit="1" customWidth="1"/>
    <col min="3082" max="3326" width="9.140625" style="186"/>
    <col min="3327" max="3327" width="38.7109375" style="186" bestFit="1" customWidth="1"/>
    <col min="3328" max="3328" width="16" style="186" bestFit="1" customWidth="1"/>
    <col min="3329" max="3329" width="14" style="186" bestFit="1" customWidth="1"/>
    <col min="3330" max="3330" width="13.7109375" style="186" bestFit="1" customWidth="1"/>
    <col min="3331" max="3331" width="15" style="186" bestFit="1" customWidth="1"/>
    <col min="3332" max="3333" width="9.140625" style="186"/>
    <col min="3334" max="3334" width="16.5703125" style="186" bestFit="1" customWidth="1"/>
    <col min="3335" max="3335" width="9.140625" style="186"/>
    <col min="3336" max="3336" width="14.28515625" style="186" bestFit="1" customWidth="1"/>
    <col min="3337" max="3337" width="15" style="186" bestFit="1" customWidth="1"/>
    <col min="3338" max="3582" width="9.140625" style="186"/>
    <col min="3583" max="3583" width="38.7109375" style="186" bestFit="1" customWidth="1"/>
    <col min="3584" max="3584" width="16" style="186" bestFit="1" customWidth="1"/>
    <col min="3585" max="3585" width="14" style="186" bestFit="1" customWidth="1"/>
    <col min="3586" max="3586" width="13.7109375" style="186" bestFit="1" customWidth="1"/>
    <col min="3587" max="3587" width="15" style="186" bestFit="1" customWidth="1"/>
    <col min="3588" max="3589" width="9.140625" style="186"/>
    <col min="3590" max="3590" width="16.5703125" style="186" bestFit="1" customWidth="1"/>
    <col min="3591" max="3591" width="9.140625" style="186"/>
    <col min="3592" max="3592" width="14.28515625" style="186" bestFit="1" customWidth="1"/>
    <col min="3593" max="3593" width="15" style="186" bestFit="1" customWidth="1"/>
    <col min="3594" max="3838" width="9.140625" style="186"/>
    <col min="3839" max="3839" width="38.7109375" style="186" bestFit="1" customWidth="1"/>
    <col min="3840" max="3840" width="16" style="186" bestFit="1" customWidth="1"/>
    <col min="3841" max="3841" width="14" style="186" bestFit="1" customWidth="1"/>
    <col min="3842" max="3842" width="13.7109375" style="186" bestFit="1" customWidth="1"/>
    <col min="3843" max="3843" width="15" style="186" bestFit="1" customWidth="1"/>
    <col min="3844" max="3845" width="9.140625" style="186"/>
    <col min="3846" max="3846" width="16.5703125" style="186" bestFit="1" customWidth="1"/>
    <col min="3847" max="3847" width="9.140625" style="186"/>
    <col min="3848" max="3848" width="14.28515625" style="186" bestFit="1" customWidth="1"/>
    <col min="3849" max="3849" width="15" style="186" bestFit="1" customWidth="1"/>
    <col min="3850" max="4094" width="9.140625" style="186"/>
    <col min="4095" max="4095" width="38.7109375" style="186" bestFit="1" customWidth="1"/>
    <col min="4096" max="4096" width="16" style="186" bestFit="1" customWidth="1"/>
    <col min="4097" max="4097" width="14" style="186" bestFit="1" customWidth="1"/>
    <col min="4098" max="4098" width="13.7109375" style="186" bestFit="1" customWidth="1"/>
    <col min="4099" max="4099" width="15" style="186" bestFit="1" customWidth="1"/>
    <col min="4100" max="4101" width="9.140625" style="186"/>
    <col min="4102" max="4102" width="16.5703125" style="186" bestFit="1" customWidth="1"/>
    <col min="4103" max="4103" width="9.140625" style="186"/>
    <col min="4104" max="4104" width="14.28515625" style="186" bestFit="1" customWidth="1"/>
    <col min="4105" max="4105" width="15" style="186" bestFit="1" customWidth="1"/>
    <col min="4106" max="4350" width="9.140625" style="186"/>
    <col min="4351" max="4351" width="38.7109375" style="186" bestFit="1" customWidth="1"/>
    <col min="4352" max="4352" width="16" style="186" bestFit="1" customWidth="1"/>
    <col min="4353" max="4353" width="14" style="186" bestFit="1" customWidth="1"/>
    <col min="4354" max="4354" width="13.7109375" style="186" bestFit="1" customWidth="1"/>
    <col min="4355" max="4355" width="15" style="186" bestFit="1" customWidth="1"/>
    <col min="4356" max="4357" width="9.140625" style="186"/>
    <col min="4358" max="4358" width="16.5703125" style="186" bestFit="1" customWidth="1"/>
    <col min="4359" max="4359" width="9.140625" style="186"/>
    <col min="4360" max="4360" width="14.28515625" style="186" bestFit="1" customWidth="1"/>
    <col min="4361" max="4361" width="15" style="186" bestFit="1" customWidth="1"/>
    <col min="4362" max="4606" width="9.140625" style="186"/>
    <col min="4607" max="4607" width="38.7109375" style="186" bestFit="1" customWidth="1"/>
    <col min="4608" max="4608" width="16" style="186" bestFit="1" customWidth="1"/>
    <col min="4609" max="4609" width="14" style="186" bestFit="1" customWidth="1"/>
    <col min="4610" max="4610" width="13.7109375" style="186" bestFit="1" customWidth="1"/>
    <col min="4611" max="4611" width="15" style="186" bestFit="1" customWidth="1"/>
    <col min="4612" max="4613" width="9.140625" style="186"/>
    <col min="4614" max="4614" width="16.5703125" style="186" bestFit="1" customWidth="1"/>
    <col min="4615" max="4615" width="9.140625" style="186"/>
    <col min="4616" max="4616" width="14.28515625" style="186" bestFit="1" customWidth="1"/>
    <col min="4617" max="4617" width="15" style="186" bestFit="1" customWidth="1"/>
    <col min="4618" max="4862" width="9.140625" style="186"/>
    <col min="4863" max="4863" width="38.7109375" style="186" bestFit="1" customWidth="1"/>
    <col min="4864" max="4864" width="16" style="186" bestFit="1" customWidth="1"/>
    <col min="4865" max="4865" width="14" style="186" bestFit="1" customWidth="1"/>
    <col min="4866" max="4866" width="13.7109375" style="186" bestFit="1" customWidth="1"/>
    <col min="4867" max="4867" width="15" style="186" bestFit="1" customWidth="1"/>
    <col min="4868" max="4869" width="9.140625" style="186"/>
    <col min="4870" max="4870" width="16.5703125" style="186" bestFit="1" customWidth="1"/>
    <col min="4871" max="4871" width="9.140625" style="186"/>
    <col min="4872" max="4872" width="14.28515625" style="186" bestFit="1" customWidth="1"/>
    <col min="4873" max="4873" width="15" style="186" bestFit="1" customWidth="1"/>
    <col min="4874" max="5118" width="9.140625" style="186"/>
    <col min="5119" max="5119" width="38.7109375" style="186" bestFit="1" customWidth="1"/>
    <col min="5120" max="5120" width="16" style="186" bestFit="1" customWidth="1"/>
    <col min="5121" max="5121" width="14" style="186" bestFit="1" customWidth="1"/>
    <col min="5122" max="5122" width="13.7109375" style="186" bestFit="1" customWidth="1"/>
    <col min="5123" max="5123" width="15" style="186" bestFit="1" customWidth="1"/>
    <col min="5124" max="5125" width="9.140625" style="186"/>
    <col min="5126" max="5126" width="16.5703125" style="186" bestFit="1" customWidth="1"/>
    <col min="5127" max="5127" width="9.140625" style="186"/>
    <col min="5128" max="5128" width="14.28515625" style="186" bestFit="1" customWidth="1"/>
    <col min="5129" max="5129" width="15" style="186" bestFit="1" customWidth="1"/>
    <col min="5130" max="5374" width="9.140625" style="186"/>
    <col min="5375" max="5375" width="38.7109375" style="186" bestFit="1" customWidth="1"/>
    <col min="5376" max="5376" width="16" style="186" bestFit="1" customWidth="1"/>
    <col min="5377" max="5377" width="14" style="186" bestFit="1" customWidth="1"/>
    <col min="5378" max="5378" width="13.7109375" style="186" bestFit="1" customWidth="1"/>
    <col min="5379" max="5379" width="15" style="186" bestFit="1" customWidth="1"/>
    <col min="5380" max="5381" width="9.140625" style="186"/>
    <col min="5382" max="5382" width="16.5703125" style="186" bestFit="1" customWidth="1"/>
    <col min="5383" max="5383" width="9.140625" style="186"/>
    <col min="5384" max="5384" width="14.28515625" style="186" bestFit="1" customWidth="1"/>
    <col min="5385" max="5385" width="15" style="186" bestFit="1" customWidth="1"/>
    <col min="5386" max="5630" width="9.140625" style="186"/>
    <col min="5631" max="5631" width="38.7109375" style="186" bestFit="1" customWidth="1"/>
    <col min="5632" max="5632" width="16" style="186" bestFit="1" customWidth="1"/>
    <col min="5633" max="5633" width="14" style="186" bestFit="1" customWidth="1"/>
    <col min="5634" max="5634" width="13.7109375" style="186" bestFit="1" customWidth="1"/>
    <col min="5635" max="5635" width="15" style="186" bestFit="1" customWidth="1"/>
    <col min="5636" max="5637" width="9.140625" style="186"/>
    <col min="5638" max="5638" width="16.5703125" style="186" bestFit="1" customWidth="1"/>
    <col min="5639" max="5639" width="9.140625" style="186"/>
    <col min="5640" max="5640" width="14.28515625" style="186" bestFit="1" customWidth="1"/>
    <col min="5641" max="5641" width="15" style="186" bestFit="1" customWidth="1"/>
    <col min="5642" max="5886" width="9.140625" style="186"/>
    <col min="5887" max="5887" width="38.7109375" style="186" bestFit="1" customWidth="1"/>
    <col min="5888" max="5888" width="16" style="186" bestFit="1" customWidth="1"/>
    <col min="5889" max="5889" width="14" style="186" bestFit="1" customWidth="1"/>
    <col min="5890" max="5890" width="13.7109375" style="186" bestFit="1" customWidth="1"/>
    <col min="5891" max="5891" width="15" style="186" bestFit="1" customWidth="1"/>
    <col min="5892" max="5893" width="9.140625" style="186"/>
    <col min="5894" max="5894" width="16.5703125" style="186" bestFit="1" customWidth="1"/>
    <col min="5895" max="5895" width="9.140625" style="186"/>
    <col min="5896" max="5896" width="14.28515625" style="186" bestFit="1" customWidth="1"/>
    <col min="5897" max="5897" width="15" style="186" bestFit="1" customWidth="1"/>
    <col min="5898" max="6142" width="9.140625" style="186"/>
    <col min="6143" max="6143" width="38.7109375" style="186" bestFit="1" customWidth="1"/>
    <col min="6144" max="6144" width="16" style="186" bestFit="1" customWidth="1"/>
    <col min="6145" max="6145" width="14" style="186" bestFit="1" customWidth="1"/>
    <col min="6146" max="6146" width="13.7109375" style="186" bestFit="1" customWidth="1"/>
    <col min="6147" max="6147" width="15" style="186" bestFit="1" customWidth="1"/>
    <col min="6148" max="6149" width="9.140625" style="186"/>
    <col min="6150" max="6150" width="16.5703125" style="186" bestFit="1" customWidth="1"/>
    <col min="6151" max="6151" width="9.140625" style="186"/>
    <col min="6152" max="6152" width="14.28515625" style="186" bestFit="1" customWidth="1"/>
    <col min="6153" max="6153" width="15" style="186" bestFit="1" customWidth="1"/>
    <col min="6154" max="6398" width="9.140625" style="186"/>
    <col min="6399" max="6399" width="38.7109375" style="186" bestFit="1" customWidth="1"/>
    <col min="6400" max="6400" width="16" style="186" bestFit="1" customWidth="1"/>
    <col min="6401" max="6401" width="14" style="186" bestFit="1" customWidth="1"/>
    <col min="6402" max="6402" width="13.7109375" style="186" bestFit="1" customWidth="1"/>
    <col min="6403" max="6403" width="15" style="186" bestFit="1" customWidth="1"/>
    <col min="6404" max="6405" width="9.140625" style="186"/>
    <col min="6406" max="6406" width="16.5703125" style="186" bestFit="1" customWidth="1"/>
    <col min="6407" max="6407" width="9.140625" style="186"/>
    <col min="6408" max="6408" width="14.28515625" style="186" bestFit="1" customWidth="1"/>
    <col min="6409" max="6409" width="15" style="186" bestFit="1" customWidth="1"/>
    <col min="6410" max="6654" width="9.140625" style="186"/>
    <col min="6655" max="6655" width="38.7109375" style="186" bestFit="1" customWidth="1"/>
    <col min="6656" max="6656" width="16" style="186" bestFit="1" customWidth="1"/>
    <col min="6657" max="6657" width="14" style="186" bestFit="1" customWidth="1"/>
    <col min="6658" max="6658" width="13.7109375" style="186" bestFit="1" customWidth="1"/>
    <col min="6659" max="6659" width="15" style="186" bestFit="1" customWidth="1"/>
    <col min="6660" max="6661" width="9.140625" style="186"/>
    <col min="6662" max="6662" width="16.5703125" style="186" bestFit="1" customWidth="1"/>
    <col min="6663" max="6663" width="9.140625" style="186"/>
    <col min="6664" max="6664" width="14.28515625" style="186" bestFit="1" customWidth="1"/>
    <col min="6665" max="6665" width="15" style="186" bestFit="1" customWidth="1"/>
    <col min="6666" max="6910" width="9.140625" style="186"/>
    <col min="6911" max="6911" width="38.7109375" style="186" bestFit="1" customWidth="1"/>
    <col min="6912" max="6912" width="16" style="186" bestFit="1" customWidth="1"/>
    <col min="6913" max="6913" width="14" style="186" bestFit="1" customWidth="1"/>
    <col min="6914" max="6914" width="13.7109375" style="186" bestFit="1" customWidth="1"/>
    <col min="6915" max="6915" width="15" style="186" bestFit="1" customWidth="1"/>
    <col min="6916" max="6917" width="9.140625" style="186"/>
    <col min="6918" max="6918" width="16.5703125" style="186" bestFit="1" customWidth="1"/>
    <col min="6919" max="6919" width="9.140625" style="186"/>
    <col min="6920" max="6920" width="14.28515625" style="186" bestFit="1" customWidth="1"/>
    <col min="6921" max="6921" width="15" style="186" bestFit="1" customWidth="1"/>
    <col min="6922" max="7166" width="9.140625" style="186"/>
    <col min="7167" max="7167" width="38.7109375" style="186" bestFit="1" customWidth="1"/>
    <col min="7168" max="7168" width="16" style="186" bestFit="1" customWidth="1"/>
    <col min="7169" max="7169" width="14" style="186" bestFit="1" customWidth="1"/>
    <col min="7170" max="7170" width="13.7109375" style="186" bestFit="1" customWidth="1"/>
    <col min="7171" max="7171" width="15" style="186" bestFit="1" customWidth="1"/>
    <col min="7172" max="7173" width="9.140625" style="186"/>
    <col min="7174" max="7174" width="16.5703125" style="186" bestFit="1" customWidth="1"/>
    <col min="7175" max="7175" width="9.140625" style="186"/>
    <col min="7176" max="7176" width="14.28515625" style="186" bestFit="1" customWidth="1"/>
    <col min="7177" max="7177" width="15" style="186" bestFit="1" customWidth="1"/>
    <col min="7178" max="7422" width="9.140625" style="186"/>
    <col min="7423" max="7423" width="38.7109375" style="186" bestFit="1" customWidth="1"/>
    <col min="7424" max="7424" width="16" style="186" bestFit="1" customWidth="1"/>
    <col min="7425" max="7425" width="14" style="186" bestFit="1" customWidth="1"/>
    <col min="7426" max="7426" width="13.7109375" style="186" bestFit="1" customWidth="1"/>
    <col min="7427" max="7427" width="15" style="186" bestFit="1" customWidth="1"/>
    <col min="7428" max="7429" width="9.140625" style="186"/>
    <col min="7430" max="7430" width="16.5703125" style="186" bestFit="1" customWidth="1"/>
    <col min="7431" max="7431" width="9.140625" style="186"/>
    <col min="7432" max="7432" width="14.28515625" style="186" bestFit="1" customWidth="1"/>
    <col min="7433" max="7433" width="15" style="186" bestFit="1" customWidth="1"/>
    <col min="7434" max="7678" width="9.140625" style="186"/>
    <col min="7679" max="7679" width="38.7109375" style="186" bestFit="1" customWidth="1"/>
    <col min="7680" max="7680" width="16" style="186" bestFit="1" customWidth="1"/>
    <col min="7681" max="7681" width="14" style="186" bestFit="1" customWidth="1"/>
    <col min="7682" max="7682" width="13.7109375" style="186" bestFit="1" customWidth="1"/>
    <col min="7683" max="7683" width="15" style="186" bestFit="1" customWidth="1"/>
    <col min="7684" max="7685" width="9.140625" style="186"/>
    <col min="7686" max="7686" width="16.5703125" style="186" bestFit="1" customWidth="1"/>
    <col min="7687" max="7687" width="9.140625" style="186"/>
    <col min="7688" max="7688" width="14.28515625" style="186" bestFit="1" customWidth="1"/>
    <col min="7689" max="7689" width="15" style="186" bestFit="1" customWidth="1"/>
    <col min="7690" max="7934" width="9.140625" style="186"/>
    <col min="7935" max="7935" width="38.7109375" style="186" bestFit="1" customWidth="1"/>
    <col min="7936" max="7936" width="16" style="186" bestFit="1" customWidth="1"/>
    <col min="7937" max="7937" width="14" style="186" bestFit="1" customWidth="1"/>
    <col min="7938" max="7938" width="13.7109375" style="186" bestFit="1" customWidth="1"/>
    <col min="7939" max="7939" width="15" style="186" bestFit="1" customWidth="1"/>
    <col min="7940" max="7941" width="9.140625" style="186"/>
    <col min="7942" max="7942" width="16.5703125" style="186" bestFit="1" customWidth="1"/>
    <col min="7943" max="7943" width="9.140625" style="186"/>
    <col min="7944" max="7944" width="14.28515625" style="186" bestFit="1" customWidth="1"/>
    <col min="7945" max="7945" width="15" style="186" bestFit="1" customWidth="1"/>
    <col min="7946" max="8190" width="9.140625" style="186"/>
    <col min="8191" max="8191" width="38.7109375" style="186" bestFit="1" customWidth="1"/>
    <col min="8192" max="8192" width="16" style="186" bestFit="1" customWidth="1"/>
    <col min="8193" max="8193" width="14" style="186" bestFit="1" customWidth="1"/>
    <col min="8194" max="8194" width="13.7109375" style="186" bestFit="1" customWidth="1"/>
    <col min="8195" max="8195" width="15" style="186" bestFit="1" customWidth="1"/>
    <col min="8196" max="8197" width="9.140625" style="186"/>
    <col min="8198" max="8198" width="16.5703125" style="186" bestFit="1" customWidth="1"/>
    <col min="8199" max="8199" width="9.140625" style="186"/>
    <col min="8200" max="8200" width="14.28515625" style="186" bestFit="1" customWidth="1"/>
    <col min="8201" max="8201" width="15" style="186" bestFit="1" customWidth="1"/>
    <col min="8202" max="8446" width="9.140625" style="186"/>
    <col min="8447" max="8447" width="38.7109375" style="186" bestFit="1" customWidth="1"/>
    <col min="8448" max="8448" width="16" style="186" bestFit="1" customWidth="1"/>
    <col min="8449" max="8449" width="14" style="186" bestFit="1" customWidth="1"/>
    <col min="8450" max="8450" width="13.7109375" style="186" bestFit="1" customWidth="1"/>
    <col min="8451" max="8451" width="15" style="186" bestFit="1" customWidth="1"/>
    <col min="8452" max="8453" width="9.140625" style="186"/>
    <col min="8454" max="8454" width="16.5703125" style="186" bestFit="1" customWidth="1"/>
    <col min="8455" max="8455" width="9.140625" style="186"/>
    <col min="8456" max="8456" width="14.28515625" style="186" bestFit="1" customWidth="1"/>
    <col min="8457" max="8457" width="15" style="186" bestFit="1" customWidth="1"/>
    <col min="8458" max="8702" width="9.140625" style="186"/>
    <col min="8703" max="8703" width="38.7109375" style="186" bestFit="1" customWidth="1"/>
    <col min="8704" max="8704" width="16" style="186" bestFit="1" customWidth="1"/>
    <col min="8705" max="8705" width="14" style="186" bestFit="1" customWidth="1"/>
    <col min="8706" max="8706" width="13.7109375" style="186" bestFit="1" customWidth="1"/>
    <col min="8707" max="8707" width="15" style="186" bestFit="1" customWidth="1"/>
    <col min="8708" max="8709" width="9.140625" style="186"/>
    <col min="8710" max="8710" width="16.5703125" style="186" bestFit="1" customWidth="1"/>
    <col min="8711" max="8711" width="9.140625" style="186"/>
    <col min="8712" max="8712" width="14.28515625" style="186" bestFit="1" customWidth="1"/>
    <col min="8713" max="8713" width="15" style="186" bestFit="1" customWidth="1"/>
    <col min="8714" max="8958" width="9.140625" style="186"/>
    <col min="8959" max="8959" width="38.7109375" style="186" bestFit="1" customWidth="1"/>
    <col min="8960" max="8960" width="16" style="186" bestFit="1" customWidth="1"/>
    <col min="8961" max="8961" width="14" style="186" bestFit="1" customWidth="1"/>
    <col min="8962" max="8962" width="13.7109375" style="186" bestFit="1" customWidth="1"/>
    <col min="8963" max="8963" width="15" style="186" bestFit="1" customWidth="1"/>
    <col min="8964" max="8965" width="9.140625" style="186"/>
    <col min="8966" max="8966" width="16.5703125" style="186" bestFit="1" customWidth="1"/>
    <col min="8967" max="8967" width="9.140625" style="186"/>
    <col min="8968" max="8968" width="14.28515625" style="186" bestFit="1" customWidth="1"/>
    <col min="8969" max="8969" width="15" style="186" bestFit="1" customWidth="1"/>
    <col min="8970" max="9214" width="9.140625" style="186"/>
    <col min="9215" max="9215" width="38.7109375" style="186" bestFit="1" customWidth="1"/>
    <col min="9216" max="9216" width="16" style="186" bestFit="1" customWidth="1"/>
    <col min="9217" max="9217" width="14" style="186" bestFit="1" customWidth="1"/>
    <col min="9218" max="9218" width="13.7109375" style="186" bestFit="1" customWidth="1"/>
    <col min="9219" max="9219" width="15" style="186" bestFit="1" customWidth="1"/>
    <col min="9220" max="9221" width="9.140625" style="186"/>
    <col min="9222" max="9222" width="16.5703125" style="186" bestFit="1" customWidth="1"/>
    <col min="9223" max="9223" width="9.140625" style="186"/>
    <col min="9224" max="9224" width="14.28515625" style="186" bestFit="1" customWidth="1"/>
    <col min="9225" max="9225" width="15" style="186" bestFit="1" customWidth="1"/>
    <col min="9226" max="9470" width="9.140625" style="186"/>
    <col min="9471" max="9471" width="38.7109375" style="186" bestFit="1" customWidth="1"/>
    <col min="9472" max="9472" width="16" style="186" bestFit="1" customWidth="1"/>
    <col min="9473" max="9473" width="14" style="186" bestFit="1" customWidth="1"/>
    <col min="9474" max="9474" width="13.7109375" style="186" bestFit="1" customWidth="1"/>
    <col min="9475" max="9475" width="15" style="186" bestFit="1" customWidth="1"/>
    <col min="9476" max="9477" width="9.140625" style="186"/>
    <col min="9478" max="9478" width="16.5703125" style="186" bestFit="1" customWidth="1"/>
    <col min="9479" max="9479" width="9.140625" style="186"/>
    <col min="9480" max="9480" width="14.28515625" style="186" bestFit="1" customWidth="1"/>
    <col min="9481" max="9481" width="15" style="186" bestFit="1" customWidth="1"/>
    <col min="9482" max="9726" width="9.140625" style="186"/>
    <col min="9727" max="9727" width="38.7109375" style="186" bestFit="1" customWidth="1"/>
    <col min="9728" max="9728" width="16" style="186" bestFit="1" customWidth="1"/>
    <col min="9729" max="9729" width="14" style="186" bestFit="1" customWidth="1"/>
    <col min="9730" max="9730" width="13.7109375" style="186" bestFit="1" customWidth="1"/>
    <col min="9731" max="9731" width="15" style="186" bestFit="1" customWidth="1"/>
    <col min="9732" max="9733" width="9.140625" style="186"/>
    <col min="9734" max="9734" width="16.5703125" style="186" bestFit="1" customWidth="1"/>
    <col min="9735" max="9735" width="9.140625" style="186"/>
    <col min="9736" max="9736" width="14.28515625" style="186" bestFit="1" customWidth="1"/>
    <col min="9737" max="9737" width="15" style="186" bestFit="1" customWidth="1"/>
    <col min="9738" max="9982" width="9.140625" style="186"/>
    <col min="9983" max="9983" width="38.7109375" style="186" bestFit="1" customWidth="1"/>
    <col min="9984" max="9984" width="16" style="186" bestFit="1" customWidth="1"/>
    <col min="9985" max="9985" width="14" style="186" bestFit="1" customWidth="1"/>
    <col min="9986" max="9986" width="13.7109375" style="186" bestFit="1" customWidth="1"/>
    <col min="9987" max="9987" width="15" style="186" bestFit="1" customWidth="1"/>
    <col min="9988" max="9989" width="9.140625" style="186"/>
    <col min="9990" max="9990" width="16.5703125" style="186" bestFit="1" customWidth="1"/>
    <col min="9991" max="9991" width="9.140625" style="186"/>
    <col min="9992" max="9992" width="14.28515625" style="186" bestFit="1" customWidth="1"/>
    <col min="9993" max="9993" width="15" style="186" bestFit="1" customWidth="1"/>
    <col min="9994" max="10238" width="9.140625" style="186"/>
    <col min="10239" max="10239" width="38.7109375" style="186" bestFit="1" customWidth="1"/>
    <col min="10240" max="10240" width="16" style="186" bestFit="1" customWidth="1"/>
    <col min="10241" max="10241" width="14" style="186" bestFit="1" customWidth="1"/>
    <col min="10242" max="10242" width="13.7109375" style="186" bestFit="1" customWidth="1"/>
    <col min="10243" max="10243" width="15" style="186" bestFit="1" customWidth="1"/>
    <col min="10244" max="10245" width="9.140625" style="186"/>
    <col min="10246" max="10246" width="16.5703125" style="186" bestFit="1" customWidth="1"/>
    <col min="10247" max="10247" width="9.140625" style="186"/>
    <col min="10248" max="10248" width="14.28515625" style="186" bestFit="1" customWidth="1"/>
    <col min="10249" max="10249" width="15" style="186" bestFit="1" customWidth="1"/>
    <col min="10250" max="10494" width="9.140625" style="186"/>
    <col min="10495" max="10495" width="38.7109375" style="186" bestFit="1" customWidth="1"/>
    <col min="10496" max="10496" width="16" style="186" bestFit="1" customWidth="1"/>
    <col min="10497" max="10497" width="14" style="186" bestFit="1" customWidth="1"/>
    <col min="10498" max="10498" width="13.7109375" style="186" bestFit="1" customWidth="1"/>
    <col min="10499" max="10499" width="15" style="186" bestFit="1" customWidth="1"/>
    <col min="10500" max="10501" width="9.140625" style="186"/>
    <col min="10502" max="10502" width="16.5703125" style="186" bestFit="1" customWidth="1"/>
    <col min="10503" max="10503" width="9.140625" style="186"/>
    <col min="10504" max="10504" width="14.28515625" style="186" bestFit="1" customWidth="1"/>
    <col min="10505" max="10505" width="15" style="186" bestFit="1" customWidth="1"/>
    <col min="10506" max="10750" width="9.140625" style="186"/>
    <col min="10751" max="10751" width="38.7109375" style="186" bestFit="1" customWidth="1"/>
    <col min="10752" max="10752" width="16" style="186" bestFit="1" customWidth="1"/>
    <col min="10753" max="10753" width="14" style="186" bestFit="1" customWidth="1"/>
    <col min="10754" max="10754" width="13.7109375" style="186" bestFit="1" customWidth="1"/>
    <col min="10755" max="10755" width="15" style="186" bestFit="1" customWidth="1"/>
    <col min="10756" max="10757" width="9.140625" style="186"/>
    <col min="10758" max="10758" width="16.5703125" style="186" bestFit="1" customWidth="1"/>
    <col min="10759" max="10759" width="9.140625" style="186"/>
    <col min="10760" max="10760" width="14.28515625" style="186" bestFit="1" customWidth="1"/>
    <col min="10761" max="10761" width="15" style="186" bestFit="1" customWidth="1"/>
    <col min="10762" max="11006" width="9.140625" style="186"/>
    <col min="11007" max="11007" width="38.7109375" style="186" bestFit="1" customWidth="1"/>
    <col min="11008" max="11008" width="16" style="186" bestFit="1" customWidth="1"/>
    <col min="11009" max="11009" width="14" style="186" bestFit="1" customWidth="1"/>
    <col min="11010" max="11010" width="13.7109375" style="186" bestFit="1" customWidth="1"/>
    <col min="11011" max="11011" width="15" style="186" bestFit="1" customWidth="1"/>
    <col min="11012" max="11013" width="9.140625" style="186"/>
    <col min="11014" max="11014" width="16.5703125" style="186" bestFit="1" customWidth="1"/>
    <col min="11015" max="11015" width="9.140625" style="186"/>
    <col min="11016" max="11016" width="14.28515625" style="186" bestFit="1" customWidth="1"/>
    <col min="11017" max="11017" width="15" style="186" bestFit="1" customWidth="1"/>
    <col min="11018" max="11262" width="9.140625" style="186"/>
    <col min="11263" max="11263" width="38.7109375" style="186" bestFit="1" customWidth="1"/>
    <col min="11264" max="11264" width="16" style="186" bestFit="1" customWidth="1"/>
    <col min="11265" max="11265" width="14" style="186" bestFit="1" customWidth="1"/>
    <col min="11266" max="11266" width="13.7109375" style="186" bestFit="1" customWidth="1"/>
    <col min="11267" max="11267" width="15" style="186" bestFit="1" customWidth="1"/>
    <col min="11268" max="11269" width="9.140625" style="186"/>
    <col min="11270" max="11270" width="16.5703125" style="186" bestFit="1" customWidth="1"/>
    <col min="11271" max="11271" width="9.140625" style="186"/>
    <col min="11272" max="11272" width="14.28515625" style="186" bestFit="1" customWidth="1"/>
    <col min="11273" max="11273" width="15" style="186" bestFit="1" customWidth="1"/>
    <col min="11274" max="11518" width="9.140625" style="186"/>
    <col min="11519" max="11519" width="38.7109375" style="186" bestFit="1" customWidth="1"/>
    <col min="11520" max="11520" width="16" style="186" bestFit="1" customWidth="1"/>
    <col min="11521" max="11521" width="14" style="186" bestFit="1" customWidth="1"/>
    <col min="11522" max="11522" width="13.7109375" style="186" bestFit="1" customWidth="1"/>
    <col min="11523" max="11523" width="15" style="186" bestFit="1" customWidth="1"/>
    <col min="11524" max="11525" width="9.140625" style="186"/>
    <col min="11526" max="11526" width="16.5703125" style="186" bestFit="1" customWidth="1"/>
    <col min="11527" max="11527" width="9.140625" style="186"/>
    <col min="11528" max="11528" width="14.28515625" style="186" bestFit="1" customWidth="1"/>
    <col min="11529" max="11529" width="15" style="186" bestFit="1" customWidth="1"/>
    <col min="11530" max="11774" width="9.140625" style="186"/>
    <col min="11775" max="11775" width="38.7109375" style="186" bestFit="1" customWidth="1"/>
    <col min="11776" max="11776" width="16" style="186" bestFit="1" customWidth="1"/>
    <col min="11777" max="11777" width="14" style="186" bestFit="1" customWidth="1"/>
    <col min="11778" max="11778" width="13.7109375" style="186" bestFit="1" customWidth="1"/>
    <col min="11779" max="11779" width="15" style="186" bestFit="1" customWidth="1"/>
    <col min="11780" max="11781" width="9.140625" style="186"/>
    <col min="11782" max="11782" width="16.5703125" style="186" bestFit="1" customWidth="1"/>
    <col min="11783" max="11783" width="9.140625" style="186"/>
    <col min="11784" max="11784" width="14.28515625" style="186" bestFit="1" customWidth="1"/>
    <col min="11785" max="11785" width="15" style="186" bestFit="1" customWidth="1"/>
    <col min="11786" max="12030" width="9.140625" style="186"/>
    <col min="12031" max="12031" width="38.7109375" style="186" bestFit="1" customWidth="1"/>
    <col min="12032" max="12032" width="16" style="186" bestFit="1" customWidth="1"/>
    <col min="12033" max="12033" width="14" style="186" bestFit="1" customWidth="1"/>
    <col min="12034" max="12034" width="13.7109375" style="186" bestFit="1" customWidth="1"/>
    <col min="12035" max="12035" width="15" style="186" bestFit="1" customWidth="1"/>
    <col min="12036" max="12037" width="9.140625" style="186"/>
    <col min="12038" max="12038" width="16.5703125" style="186" bestFit="1" customWidth="1"/>
    <col min="12039" max="12039" width="9.140625" style="186"/>
    <col min="12040" max="12040" width="14.28515625" style="186" bestFit="1" customWidth="1"/>
    <col min="12041" max="12041" width="15" style="186" bestFit="1" customWidth="1"/>
    <col min="12042" max="12286" width="9.140625" style="186"/>
    <col min="12287" max="12287" width="38.7109375" style="186" bestFit="1" customWidth="1"/>
    <col min="12288" max="12288" width="16" style="186" bestFit="1" customWidth="1"/>
    <col min="12289" max="12289" width="14" style="186" bestFit="1" customWidth="1"/>
    <col min="12290" max="12290" width="13.7109375" style="186" bestFit="1" customWidth="1"/>
    <col min="12291" max="12291" width="15" style="186" bestFit="1" customWidth="1"/>
    <col min="12292" max="12293" width="9.140625" style="186"/>
    <col min="12294" max="12294" width="16.5703125" style="186" bestFit="1" customWidth="1"/>
    <col min="12295" max="12295" width="9.140625" style="186"/>
    <col min="12296" max="12296" width="14.28515625" style="186" bestFit="1" customWidth="1"/>
    <col min="12297" max="12297" width="15" style="186" bestFit="1" customWidth="1"/>
    <col min="12298" max="12542" width="9.140625" style="186"/>
    <col min="12543" max="12543" width="38.7109375" style="186" bestFit="1" customWidth="1"/>
    <col min="12544" max="12544" width="16" style="186" bestFit="1" customWidth="1"/>
    <col min="12545" max="12545" width="14" style="186" bestFit="1" customWidth="1"/>
    <col min="12546" max="12546" width="13.7109375" style="186" bestFit="1" customWidth="1"/>
    <col min="12547" max="12547" width="15" style="186" bestFit="1" customWidth="1"/>
    <col min="12548" max="12549" width="9.140625" style="186"/>
    <col min="12550" max="12550" width="16.5703125" style="186" bestFit="1" customWidth="1"/>
    <col min="12551" max="12551" width="9.140625" style="186"/>
    <col min="12552" max="12552" width="14.28515625" style="186" bestFit="1" customWidth="1"/>
    <col min="12553" max="12553" width="15" style="186" bestFit="1" customWidth="1"/>
    <col min="12554" max="12798" width="9.140625" style="186"/>
    <col min="12799" max="12799" width="38.7109375" style="186" bestFit="1" customWidth="1"/>
    <col min="12800" max="12800" width="16" style="186" bestFit="1" customWidth="1"/>
    <col min="12801" max="12801" width="14" style="186" bestFit="1" customWidth="1"/>
    <col min="12802" max="12802" width="13.7109375" style="186" bestFit="1" customWidth="1"/>
    <col min="12803" max="12803" width="15" style="186" bestFit="1" customWidth="1"/>
    <col min="12804" max="12805" width="9.140625" style="186"/>
    <col min="12806" max="12806" width="16.5703125" style="186" bestFit="1" customWidth="1"/>
    <col min="12807" max="12807" width="9.140625" style="186"/>
    <col min="12808" max="12808" width="14.28515625" style="186" bestFit="1" customWidth="1"/>
    <col min="12809" max="12809" width="15" style="186" bestFit="1" customWidth="1"/>
    <col min="12810" max="13054" width="9.140625" style="186"/>
    <col min="13055" max="13055" width="38.7109375" style="186" bestFit="1" customWidth="1"/>
    <col min="13056" max="13056" width="16" style="186" bestFit="1" customWidth="1"/>
    <col min="13057" max="13057" width="14" style="186" bestFit="1" customWidth="1"/>
    <col min="13058" max="13058" width="13.7109375" style="186" bestFit="1" customWidth="1"/>
    <col min="13059" max="13059" width="15" style="186" bestFit="1" customWidth="1"/>
    <col min="13060" max="13061" width="9.140625" style="186"/>
    <col min="13062" max="13062" width="16.5703125" style="186" bestFit="1" customWidth="1"/>
    <col min="13063" max="13063" width="9.140625" style="186"/>
    <col min="13064" max="13064" width="14.28515625" style="186" bestFit="1" customWidth="1"/>
    <col min="13065" max="13065" width="15" style="186" bestFit="1" customWidth="1"/>
    <col min="13066" max="13310" width="9.140625" style="186"/>
    <col min="13311" max="13311" width="38.7109375" style="186" bestFit="1" customWidth="1"/>
    <col min="13312" max="13312" width="16" style="186" bestFit="1" customWidth="1"/>
    <col min="13313" max="13313" width="14" style="186" bestFit="1" customWidth="1"/>
    <col min="13314" max="13314" width="13.7109375" style="186" bestFit="1" customWidth="1"/>
    <col min="13315" max="13315" width="15" style="186" bestFit="1" customWidth="1"/>
    <col min="13316" max="13317" width="9.140625" style="186"/>
    <col min="13318" max="13318" width="16.5703125" style="186" bestFit="1" customWidth="1"/>
    <col min="13319" max="13319" width="9.140625" style="186"/>
    <col min="13320" max="13320" width="14.28515625" style="186" bestFit="1" customWidth="1"/>
    <col min="13321" max="13321" width="15" style="186" bestFit="1" customWidth="1"/>
    <col min="13322" max="13566" width="9.140625" style="186"/>
    <col min="13567" max="13567" width="38.7109375" style="186" bestFit="1" customWidth="1"/>
    <col min="13568" max="13568" width="16" style="186" bestFit="1" customWidth="1"/>
    <col min="13569" max="13569" width="14" style="186" bestFit="1" customWidth="1"/>
    <col min="13570" max="13570" width="13.7109375" style="186" bestFit="1" customWidth="1"/>
    <col min="13571" max="13571" width="15" style="186" bestFit="1" customWidth="1"/>
    <col min="13572" max="13573" width="9.140625" style="186"/>
    <col min="13574" max="13574" width="16.5703125" style="186" bestFit="1" customWidth="1"/>
    <col min="13575" max="13575" width="9.140625" style="186"/>
    <col min="13576" max="13576" width="14.28515625" style="186" bestFit="1" customWidth="1"/>
    <col min="13577" max="13577" width="15" style="186" bestFit="1" customWidth="1"/>
    <col min="13578" max="13822" width="9.140625" style="186"/>
    <col min="13823" max="13823" width="38.7109375" style="186" bestFit="1" customWidth="1"/>
    <col min="13824" max="13824" width="16" style="186" bestFit="1" customWidth="1"/>
    <col min="13825" max="13825" width="14" style="186" bestFit="1" customWidth="1"/>
    <col min="13826" max="13826" width="13.7109375" style="186" bestFit="1" customWidth="1"/>
    <col min="13827" max="13827" width="15" style="186" bestFit="1" customWidth="1"/>
    <col min="13828" max="13829" width="9.140625" style="186"/>
    <col min="13830" max="13830" width="16.5703125" style="186" bestFit="1" customWidth="1"/>
    <col min="13831" max="13831" width="9.140625" style="186"/>
    <col min="13832" max="13832" width="14.28515625" style="186" bestFit="1" customWidth="1"/>
    <col min="13833" max="13833" width="15" style="186" bestFit="1" customWidth="1"/>
    <col min="13834" max="14078" width="9.140625" style="186"/>
    <col min="14079" max="14079" width="38.7109375" style="186" bestFit="1" customWidth="1"/>
    <col min="14080" max="14080" width="16" style="186" bestFit="1" customWidth="1"/>
    <col min="14081" max="14081" width="14" style="186" bestFit="1" customWidth="1"/>
    <col min="14082" max="14082" width="13.7109375" style="186" bestFit="1" customWidth="1"/>
    <col min="14083" max="14083" width="15" style="186" bestFit="1" customWidth="1"/>
    <col min="14084" max="14085" width="9.140625" style="186"/>
    <col min="14086" max="14086" width="16.5703125" style="186" bestFit="1" customWidth="1"/>
    <col min="14087" max="14087" width="9.140625" style="186"/>
    <col min="14088" max="14088" width="14.28515625" style="186" bestFit="1" customWidth="1"/>
    <col min="14089" max="14089" width="15" style="186" bestFit="1" customWidth="1"/>
    <col min="14090" max="14334" width="9.140625" style="186"/>
    <col min="14335" max="14335" width="38.7109375" style="186" bestFit="1" customWidth="1"/>
    <col min="14336" max="14336" width="16" style="186" bestFit="1" customWidth="1"/>
    <col min="14337" max="14337" width="14" style="186" bestFit="1" customWidth="1"/>
    <col min="14338" max="14338" width="13.7109375" style="186" bestFit="1" customWidth="1"/>
    <col min="14339" max="14339" width="15" style="186" bestFit="1" customWidth="1"/>
    <col min="14340" max="14341" width="9.140625" style="186"/>
    <col min="14342" max="14342" width="16.5703125" style="186" bestFit="1" customWidth="1"/>
    <col min="14343" max="14343" width="9.140625" style="186"/>
    <col min="14344" max="14344" width="14.28515625" style="186" bestFit="1" customWidth="1"/>
    <col min="14345" max="14345" width="15" style="186" bestFit="1" customWidth="1"/>
    <col min="14346" max="14590" width="9.140625" style="186"/>
    <col min="14591" max="14591" width="38.7109375" style="186" bestFit="1" customWidth="1"/>
    <col min="14592" max="14592" width="16" style="186" bestFit="1" customWidth="1"/>
    <col min="14593" max="14593" width="14" style="186" bestFit="1" customWidth="1"/>
    <col min="14594" max="14594" width="13.7109375" style="186" bestFit="1" customWidth="1"/>
    <col min="14595" max="14595" width="15" style="186" bestFit="1" customWidth="1"/>
    <col min="14596" max="14597" width="9.140625" style="186"/>
    <col min="14598" max="14598" width="16.5703125" style="186" bestFit="1" customWidth="1"/>
    <col min="14599" max="14599" width="9.140625" style="186"/>
    <col min="14600" max="14600" width="14.28515625" style="186" bestFit="1" customWidth="1"/>
    <col min="14601" max="14601" width="15" style="186" bestFit="1" customWidth="1"/>
    <col min="14602" max="14846" width="9.140625" style="186"/>
    <col min="14847" max="14847" width="38.7109375" style="186" bestFit="1" customWidth="1"/>
    <col min="14848" max="14848" width="16" style="186" bestFit="1" customWidth="1"/>
    <col min="14849" max="14849" width="14" style="186" bestFit="1" customWidth="1"/>
    <col min="14850" max="14850" width="13.7109375" style="186" bestFit="1" customWidth="1"/>
    <col min="14851" max="14851" width="15" style="186" bestFit="1" customWidth="1"/>
    <col min="14852" max="14853" width="9.140625" style="186"/>
    <col min="14854" max="14854" width="16.5703125" style="186" bestFit="1" customWidth="1"/>
    <col min="14855" max="14855" width="9.140625" style="186"/>
    <col min="14856" max="14856" width="14.28515625" style="186" bestFit="1" customWidth="1"/>
    <col min="14857" max="14857" width="15" style="186" bestFit="1" customWidth="1"/>
    <col min="14858" max="15102" width="9.140625" style="186"/>
    <col min="15103" max="15103" width="38.7109375" style="186" bestFit="1" customWidth="1"/>
    <col min="15104" max="15104" width="16" style="186" bestFit="1" customWidth="1"/>
    <col min="15105" max="15105" width="14" style="186" bestFit="1" customWidth="1"/>
    <col min="15106" max="15106" width="13.7109375" style="186" bestFit="1" customWidth="1"/>
    <col min="15107" max="15107" width="15" style="186" bestFit="1" customWidth="1"/>
    <col min="15108" max="15109" width="9.140625" style="186"/>
    <col min="15110" max="15110" width="16.5703125" style="186" bestFit="1" customWidth="1"/>
    <col min="15111" max="15111" width="9.140625" style="186"/>
    <col min="15112" max="15112" width="14.28515625" style="186" bestFit="1" customWidth="1"/>
    <col min="15113" max="15113" width="15" style="186" bestFit="1" customWidth="1"/>
    <col min="15114" max="15358" width="9.140625" style="186"/>
    <col min="15359" max="15359" width="38.7109375" style="186" bestFit="1" customWidth="1"/>
    <col min="15360" max="15360" width="16" style="186" bestFit="1" customWidth="1"/>
    <col min="15361" max="15361" width="14" style="186" bestFit="1" customWidth="1"/>
    <col min="15362" max="15362" width="13.7109375" style="186" bestFit="1" customWidth="1"/>
    <col min="15363" max="15363" width="15" style="186" bestFit="1" customWidth="1"/>
    <col min="15364" max="15365" width="9.140625" style="186"/>
    <col min="15366" max="15366" width="16.5703125" style="186" bestFit="1" customWidth="1"/>
    <col min="15367" max="15367" width="9.140625" style="186"/>
    <col min="15368" max="15368" width="14.28515625" style="186" bestFit="1" customWidth="1"/>
    <col min="15369" max="15369" width="15" style="186" bestFit="1" customWidth="1"/>
    <col min="15370" max="15614" width="9.140625" style="186"/>
    <col min="15615" max="15615" width="38.7109375" style="186" bestFit="1" customWidth="1"/>
    <col min="15616" max="15616" width="16" style="186" bestFit="1" customWidth="1"/>
    <col min="15617" max="15617" width="14" style="186" bestFit="1" customWidth="1"/>
    <col min="15618" max="15618" width="13.7109375" style="186" bestFit="1" customWidth="1"/>
    <col min="15619" max="15619" width="15" style="186" bestFit="1" customWidth="1"/>
    <col min="15620" max="15621" width="9.140625" style="186"/>
    <col min="15622" max="15622" width="16.5703125" style="186" bestFit="1" customWidth="1"/>
    <col min="15623" max="15623" width="9.140625" style="186"/>
    <col min="15624" max="15624" width="14.28515625" style="186" bestFit="1" customWidth="1"/>
    <col min="15625" max="15625" width="15" style="186" bestFit="1" customWidth="1"/>
    <col min="15626" max="15870" width="9.140625" style="186"/>
    <col min="15871" max="15871" width="38.7109375" style="186" bestFit="1" customWidth="1"/>
    <col min="15872" max="15872" width="16" style="186" bestFit="1" customWidth="1"/>
    <col min="15873" max="15873" width="14" style="186" bestFit="1" customWidth="1"/>
    <col min="15874" max="15874" width="13.7109375" style="186" bestFit="1" customWidth="1"/>
    <col min="15875" max="15875" width="15" style="186" bestFit="1" customWidth="1"/>
    <col min="15876" max="15877" width="9.140625" style="186"/>
    <col min="15878" max="15878" width="16.5703125" style="186" bestFit="1" customWidth="1"/>
    <col min="15879" max="15879" width="9.140625" style="186"/>
    <col min="15880" max="15880" width="14.28515625" style="186" bestFit="1" customWidth="1"/>
    <col min="15881" max="15881" width="15" style="186" bestFit="1" customWidth="1"/>
    <col min="15882" max="16126" width="9.140625" style="186"/>
    <col min="16127" max="16127" width="38.7109375" style="186" bestFit="1" customWidth="1"/>
    <col min="16128" max="16128" width="16" style="186" bestFit="1" customWidth="1"/>
    <col min="16129" max="16129" width="14" style="186" bestFit="1" customWidth="1"/>
    <col min="16130" max="16130" width="13.7109375" style="186" bestFit="1" customWidth="1"/>
    <col min="16131" max="16131" width="15" style="186" bestFit="1" customWidth="1"/>
    <col min="16132" max="16133" width="9.140625" style="186"/>
    <col min="16134" max="16134" width="16.5703125" style="186" bestFit="1" customWidth="1"/>
    <col min="16135" max="16135" width="9.140625" style="186"/>
    <col min="16136" max="16136" width="14.28515625" style="186" bestFit="1" customWidth="1"/>
    <col min="16137" max="16137" width="15" style="186" bestFit="1" customWidth="1"/>
    <col min="16138" max="16384" width="9.140625" style="186"/>
  </cols>
  <sheetData>
    <row r="1" spans="2:11" ht="13.5" thickBot="1">
      <c r="B1" s="468"/>
      <c r="C1" s="733">
        <v>2015</v>
      </c>
      <c r="D1" s="734"/>
      <c r="E1" s="734"/>
      <c r="F1" s="735"/>
      <c r="G1" s="736">
        <v>2014</v>
      </c>
      <c r="H1" s="734"/>
      <c r="I1" s="734"/>
      <c r="J1" s="737"/>
    </row>
    <row r="2" spans="2:11" ht="13.5" thickBot="1">
      <c r="B2" s="299" t="s">
        <v>152</v>
      </c>
      <c r="C2" s="300" t="s">
        <v>392</v>
      </c>
      <c r="D2" s="300" t="s">
        <v>393</v>
      </c>
      <c r="E2" s="300" t="s">
        <v>368</v>
      </c>
      <c r="F2" s="300" t="s">
        <v>22</v>
      </c>
      <c r="G2" s="300" t="s">
        <v>392</v>
      </c>
      <c r="H2" s="300" t="s">
        <v>393</v>
      </c>
      <c r="I2" s="300" t="s">
        <v>368</v>
      </c>
      <c r="J2" s="301" t="s">
        <v>22</v>
      </c>
    </row>
    <row r="3" spans="2:11">
      <c r="B3" s="296" t="s">
        <v>369</v>
      </c>
      <c r="C3" s="297"/>
      <c r="D3" s="297"/>
      <c r="E3" s="297"/>
      <c r="F3" s="297"/>
      <c r="G3" s="297"/>
      <c r="H3" s="297"/>
      <c r="I3" s="297"/>
      <c r="J3" s="298"/>
    </row>
    <row r="4" spans="2:11">
      <c r="B4" s="291" t="s">
        <v>370</v>
      </c>
      <c r="C4" s="222">
        <v>431684469.82999998</v>
      </c>
      <c r="D4" s="286">
        <v>224624021.22999999</v>
      </c>
      <c r="E4" s="286">
        <v>0</v>
      </c>
      <c r="F4" s="286">
        <f>SUM(C4:E4)</f>
        <v>656308491.05999994</v>
      </c>
      <c r="G4" s="222">
        <v>529832742.13</v>
      </c>
      <c r="H4" s="286">
        <v>47869090.469999999</v>
      </c>
      <c r="I4" s="286"/>
      <c r="J4" s="292">
        <f>SUM(G4:I4)</f>
        <v>577701832.60000002</v>
      </c>
      <c r="K4" s="218"/>
    </row>
    <row r="5" spans="2:11">
      <c r="B5" s="291" t="s">
        <v>371</v>
      </c>
      <c r="C5" s="286">
        <v>0</v>
      </c>
      <c r="D5" s="286">
        <v>0</v>
      </c>
      <c r="E5" s="286">
        <v>0</v>
      </c>
      <c r="F5" s="286">
        <f>SUM(C5:E5)</f>
        <v>0</v>
      </c>
      <c r="G5" s="286">
        <f t="shared" ref="G5:I5" si="0">SUM(D5:F5)</f>
        <v>0</v>
      </c>
      <c r="H5" s="286">
        <f t="shared" si="0"/>
        <v>0</v>
      </c>
      <c r="I5" s="286">
        <f t="shared" si="0"/>
        <v>0</v>
      </c>
      <c r="J5" s="292">
        <f t="shared" ref="J5:J9" si="1">SUM(G5:I5)</f>
        <v>0</v>
      </c>
      <c r="K5" s="218"/>
    </row>
    <row r="6" spans="2:11">
      <c r="B6" s="293" t="s">
        <v>372</v>
      </c>
      <c r="C6" s="287">
        <f>C4+C5</f>
        <v>431684469.82999998</v>
      </c>
      <c r="D6" s="287">
        <f>+D5+D4</f>
        <v>224624021.22999999</v>
      </c>
      <c r="E6" s="287">
        <f>+E5+E4</f>
        <v>0</v>
      </c>
      <c r="F6" s="287">
        <f>+F5+F4</f>
        <v>656308491.05999994</v>
      </c>
      <c r="G6" s="287">
        <f t="shared" ref="G6:I6" si="2">+G5+G4</f>
        <v>529832742.13</v>
      </c>
      <c r="H6" s="287">
        <f t="shared" si="2"/>
        <v>47869090.469999999</v>
      </c>
      <c r="I6" s="287">
        <f t="shared" si="2"/>
        <v>0</v>
      </c>
      <c r="J6" s="461">
        <f t="shared" si="1"/>
        <v>577701832.60000002</v>
      </c>
      <c r="K6" s="218"/>
    </row>
    <row r="7" spans="2:11">
      <c r="B7" s="291" t="s">
        <v>373</v>
      </c>
      <c r="C7" s="286"/>
      <c r="D7" s="286"/>
      <c r="E7" s="286"/>
      <c r="F7" s="286"/>
      <c r="G7" s="286"/>
      <c r="H7" s="286"/>
      <c r="I7" s="286"/>
      <c r="J7" s="292">
        <f t="shared" si="1"/>
        <v>0</v>
      </c>
    </row>
    <row r="8" spans="2:11">
      <c r="B8" s="291" t="s">
        <v>374</v>
      </c>
      <c r="C8" s="286"/>
      <c r="D8" s="286"/>
      <c r="E8" s="286"/>
      <c r="F8" s="286"/>
      <c r="G8" s="286"/>
      <c r="H8" s="286"/>
      <c r="I8" s="286"/>
      <c r="J8" s="292">
        <f t="shared" si="1"/>
        <v>0</v>
      </c>
    </row>
    <row r="9" spans="2:11" s="188" customFormat="1">
      <c r="B9" s="293" t="s">
        <v>375</v>
      </c>
      <c r="C9" s="287">
        <f>+SUM(C6:C8)</f>
        <v>431684469.82999998</v>
      </c>
      <c r="D9" s="287">
        <f>+SUM(D6:D8)</f>
        <v>224624021.22999999</v>
      </c>
      <c r="E9" s="287">
        <f>+SUM(E6:E8)</f>
        <v>0</v>
      </c>
      <c r="F9" s="287">
        <f>+SUM(F6:F8)</f>
        <v>656308491.05999994</v>
      </c>
      <c r="G9" s="287">
        <f t="shared" ref="G9:H9" si="3">+SUM(G6:G8)</f>
        <v>529832742.13</v>
      </c>
      <c r="H9" s="287">
        <f t="shared" si="3"/>
        <v>47869090.469999999</v>
      </c>
      <c r="I9" s="287">
        <f>+SUM(I6:I8)</f>
        <v>0</v>
      </c>
      <c r="J9" s="461">
        <f t="shared" si="1"/>
        <v>577701832.60000002</v>
      </c>
    </row>
    <row r="10" spans="2:11">
      <c r="B10" s="291"/>
      <c r="C10" s="286"/>
      <c r="D10" s="286"/>
      <c r="E10" s="286"/>
      <c r="F10" s="286"/>
      <c r="G10" s="286"/>
      <c r="H10" s="286"/>
      <c r="I10" s="286"/>
      <c r="J10" s="292"/>
    </row>
    <row r="11" spans="2:11">
      <c r="B11" s="291"/>
      <c r="C11" s="286"/>
      <c r="D11" s="286"/>
      <c r="E11" s="286"/>
      <c r="F11" s="286"/>
      <c r="G11" s="286"/>
      <c r="H11" s="286"/>
      <c r="I11" s="286"/>
      <c r="J11" s="292"/>
    </row>
    <row r="12" spans="2:11">
      <c r="B12" s="289" t="s">
        <v>376</v>
      </c>
      <c r="C12" s="286"/>
      <c r="D12" s="286"/>
      <c r="E12" s="286"/>
      <c r="F12" s="286"/>
      <c r="G12" s="286"/>
      <c r="H12" s="286"/>
      <c r="I12" s="286"/>
      <c r="J12" s="292"/>
    </row>
    <row r="13" spans="2:11">
      <c r="B13" s="291"/>
      <c r="C13" s="286"/>
      <c r="D13" s="286"/>
      <c r="E13" s="286"/>
      <c r="F13" s="286"/>
      <c r="G13" s="286"/>
      <c r="H13" s="286"/>
      <c r="I13" s="286"/>
      <c r="J13" s="292"/>
    </row>
    <row r="14" spans="2:11">
      <c r="B14" s="291" t="s">
        <v>377</v>
      </c>
      <c r="C14" s="286">
        <v>310001331.94</v>
      </c>
      <c r="D14" s="288">
        <v>224624021.22999999</v>
      </c>
      <c r="E14" s="286">
        <f t="shared" ref="E14:E15" si="4">E12-E13</f>
        <v>0</v>
      </c>
      <c r="F14" s="286">
        <f>C14+D14+E14</f>
        <v>534625353.16999996</v>
      </c>
      <c r="G14" s="286">
        <f>J14-H14</f>
        <v>422859651.54000008</v>
      </c>
      <c r="H14" s="288">
        <v>47869090.469999999</v>
      </c>
      <c r="I14" s="286">
        <f t="shared" ref="I14:J16" si="5">I12-I13</f>
        <v>0</v>
      </c>
      <c r="J14" s="292">
        <v>470728742.01000005</v>
      </c>
      <c r="K14" s="218"/>
    </row>
    <row r="15" spans="2:11">
      <c r="B15" s="291" t="s">
        <v>378</v>
      </c>
      <c r="C15" s="286">
        <v>284694121.57999998</v>
      </c>
      <c r="D15" s="222">
        <v>10878219</v>
      </c>
      <c r="E15" s="286">
        <f t="shared" si="4"/>
        <v>0</v>
      </c>
      <c r="F15" s="286">
        <f>C15+D15+E15</f>
        <v>295572340.57999998</v>
      </c>
      <c r="G15" s="286">
        <f>J15-H15</f>
        <v>255856128.63999999</v>
      </c>
      <c r="H15" s="222">
        <v>20879215</v>
      </c>
      <c r="I15" s="286">
        <f t="shared" si="5"/>
        <v>0</v>
      </c>
      <c r="J15" s="292">
        <v>276735343.63999999</v>
      </c>
      <c r="K15" s="218"/>
    </row>
    <row r="16" spans="2:11">
      <c r="B16" s="293" t="s">
        <v>379</v>
      </c>
      <c r="C16" s="286">
        <f>C14-C15</f>
        <v>25307210.360000014</v>
      </c>
      <c r="D16" s="286">
        <f>D14-D15</f>
        <v>213745802.22999999</v>
      </c>
      <c r="E16" s="286">
        <f>E14-E15</f>
        <v>0</v>
      </c>
      <c r="F16" s="286">
        <f>F14-F15</f>
        <v>239053012.58999997</v>
      </c>
      <c r="G16" s="286">
        <f t="shared" ref="G16:H16" si="6">G14-G15</f>
        <v>167003522.9000001</v>
      </c>
      <c r="H16" s="286">
        <f t="shared" si="6"/>
        <v>26989875.469999999</v>
      </c>
      <c r="I16" s="286">
        <f t="shared" si="5"/>
        <v>0</v>
      </c>
      <c r="J16" s="292">
        <f t="shared" si="5"/>
        <v>193993398.37000006</v>
      </c>
    </row>
    <row r="17" spans="2:11">
      <c r="B17" s="291"/>
      <c r="C17" s="286"/>
      <c r="D17" s="286"/>
      <c r="E17" s="286"/>
      <c r="F17" s="286"/>
      <c r="G17" s="286"/>
      <c r="H17" s="286"/>
      <c r="I17" s="286"/>
      <c r="J17" s="292"/>
    </row>
    <row r="18" spans="2:11">
      <c r="B18" s="291" t="s">
        <v>380</v>
      </c>
      <c r="C18" s="286">
        <v>98486878.219999999</v>
      </c>
      <c r="D18" s="286">
        <v>0</v>
      </c>
      <c r="E18" s="286">
        <v>0</v>
      </c>
      <c r="F18" s="286">
        <f>C18+D18+E18</f>
        <v>98486878.219999999</v>
      </c>
      <c r="G18" s="286">
        <v>106973090.58999997</v>
      </c>
      <c r="H18" s="286">
        <v>0</v>
      </c>
      <c r="I18" s="286">
        <v>0</v>
      </c>
      <c r="J18" s="292">
        <f>G18+H18+I18</f>
        <v>106973090.58999997</v>
      </c>
      <c r="K18" s="218"/>
    </row>
    <row r="19" spans="2:11">
      <c r="B19" s="291" t="s">
        <v>381</v>
      </c>
      <c r="C19" s="286">
        <v>147379459.69</v>
      </c>
      <c r="D19" s="286">
        <v>0</v>
      </c>
      <c r="E19" s="286">
        <v>0</v>
      </c>
      <c r="F19" s="286">
        <f>C19+D19+E19</f>
        <v>147379459.69</v>
      </c>
      <c r="G19" s="286">
        <v>126482821.94</v>
      </c>
      <c r="H19" s="286">
        <v>0</v>
      </c>
      <c r="I19" s="286">
        <v>0</v>
      </c>
      <c r="J19" s="292">
        <f>G19+H19+I19</f>
        <v>126482821.94</v>
      </c>
    </row>
    <row r="20" spans="2:11">
      <c r="B20" s="293" t="s">
        <v>382</v>
      </c>
      <c r="C20" s="286">
        <f>C18-C19</f>
        <v>-48892581.469999999</v>
      </c>
      <c r="D20" s="286">
        <v>0</v>
      </c>
      <c r="E20" s="286">
        <v>0</v>
      </c>
      <c r="F20" s="286">
        <f>C20+D20+E20</f>
        <v>-48892581.469999999</v>
      </c>
      <c r="G20" s="286">
        <f t="shared" ref="G20" si="7">D20+E20+F20</f>
        <v>-48892581.469999999</v>
      </c>
      <c r="H20" s="286"/>
      <c r="I20" s="286"/>
      <c r="J20" s="292">
        <f t="shared" ref="J20" si="8">J18-J19</f>
        <v>-19509731.350000024</v>
      </c>
    </row>
    <row r="21" spans="2:11">
      <c r="B21" s="291"/>
      <c r="C21" s="286"/>
      <c r="D21" s="286"/>
      <c r="E21" s="286"/>
      <c r="F21" s="286"/>
      <c r="G21" s="286"/>
      <c r="H21" s="286"/>
      <c r="I21" s="286"/>
      <c r="J21" s="292"/>
    </row>
    <row r="22" spans="2:11">
      <c r="B22" s="291" t="s">
        <v>383</v>
      </c>
      <c r="C22" s="286">
        <v>0</v>
      </c>
      <c r="D22" s="286">
        <v>0</v>
      </c>
      <c r="E22" s="286">
        <v>0</v>
      </c>
      <c r="F22" s="286">
        <v>0</v>
      </c>
      <c r="G22" s="286">
        <v>0</v>
      </c>
      <c r="H22" s="286">
        <v>0</v>
      </c>
      <c r="I22" s="286">
        <v>0</v>
      </c>
      <c r="J22" s="292">
        <v>0</v>
      </c>
    </row>
    <row r="23" spans="2:11">
      <c r="B23" s="291" t="s">
        <v>384</v>
      </c>
      <c r="C23" s="286">
        <v>0</v>
      </c>
      <c r="D23" s="286">
        <v>0</v>
      </c>
      <c r="E23" s="286">
        <v>0</v>
      </c>
      <c r="F23" s="286">
        <v>0</v>
      </c>
      <c r="G23" s="286">
        <v>0</v>
      </c>
      <c r="H23" s="286">
        <v>0</v>
      </c>
      <c r="I23" s="286">
        <v>0</v>
      </c>
      <c r="J23" s="292">
        <v>0</v>
      </c>
    </row>
    <row r="24" spans="2:11">
      <c r="B24" s="291" t="s">
        <v>385</v>
      </c>
      <c r="C24" s="286">
        <v>0</v>
      </c>
      <c r="D24" s="286">
        <v>0</v>
      </c>
      <c r="E24" s="286">
        <v>0</v>
      </c>
      <c r="F24" s="286">
        <v>0</v>
      </c>
      <c r="G24" s="286">
        <v>0</v>
      </c>
      <c r="H24" s="286">
        <v>0</v>
      </c>
      <c r="I24" s="286">
        <v>0</v>
      </c>
      <c r="J24" s="292">
        <v>0</v>
      </c>
    </row>
    <row r="25" spans="2:11">
      <c r="B25" s="291"/>
      <c r="C25" s="286"/>
      <c r="D25" s="286"/>
      <c r="E25" s="286"/>
      <c r="F25" s="286"/>
      <c r="G25" s="286"/>
      <c r="H25" s="286"/>
      <c r="I25" s="286"/>
      <c r="J25" s="292"/>
    </row>
    <row r="26" spans="2:11">
      <c r="B26" s="293" t="s">
        <v>386</v>
      </c>
      <c r="C26" s="286">
        <v>0</v>
      </c>
      <c r="D26" s="286">
        <v>0</v>
      </c>
      <c r="E26" s="286">
        <v>0</v>
      </c>
      <c r="F26" s="286">
        <v>0</v>
      </c>
      <c r="G26" s="286">
        <v>0</v>
      </c>
      <c r="H26" s="286">
        <v>0</v>
      </c>
      <c r="I26" s="286">
        <v>0</v>
      </c>
      <c r="J26" s="292">
        <v>0</v>
      </c>
    </row>
    <row r="27" spans="2:11">
      <c r="B27" s="291" t="s">
        <v>387</v>
      </c>
      <c r="C27" s="286">
        <v>0</v>
      </c>
      <c r="D27" s="286">
        <v>0</v>
      </c>
      <c r="E27" s="286">
        <v>0</v>
      </c>
      <c r="F27" s="286">
        <v>0</v>
      </c>
      <c r="G27" s="286">
        <v>0</v>
      </c>
      <c r="H27" s="286">
        <v>0</v>
      </c>
      <c r="I27" s="286">
        <v>0</v>
      </c>
      <c r="J27" s="292">
        <v>0</v>
      </c>
    </row>
    <row r="28" spans="2:11">
      <c r="B28" s="293" t="s">
        <v>231</v>
      </c>
      <c r="C28" s="286">
        <v>0</v>
      </c>
      <c r="D28" s="286">
        <v>0</v>
      </c>
      <c r="E28" s="286">
        <v>0</v>
      </c>
      <c r="F28" s="286">
        <v>0</v>
      </c>
      <c r="G28" s="286">
        <v>0</v>
      </c>
      <c r="H28" s="286">
        <v>0</v>
      </c>
      <c r="I28" s="286">
        <v>0</v>
      </c>
      <c r="J28" s="292">
        <v>0</v>
      </c>
    </row>
    <row r="29" spans="2:11">
      <c r="B29" s="291"/>
      <c r="C29" s="286"/>
      <c r="D29" s="286"/>
      <c r="E29" s="286"/>
      <c r="F29" s="286"/>
      <c r="G29" s="286"/>
      <c r="H29" s="286"/>
      <c r="I29" s="286"/>
      <c r="J29" s="292"/>
    </row>
    <row r="30" spans="2:11">
      <c r="B30" s="289" t="s">
        <v>268</v>
      </c>
      <c r="C30" s="286"/>
      <c r="D30" s="286"/>
      <c r="E30" s="286"/>
      <c r="F30" s="286"/>
      <c r="G30" s="286"/>
      <c r="H30" s="286"/>
      <c r="I30" s="286"/>
      <c r="J30" s="292"/>
    </row>
    <row r="31" spans="2:11">
      <c r="B31" s="291" t="s">
        <v>388</v>
      </c>
      <c r="C31" s="286"/>
      <c r="D31" s="286"/>
      <c r="E31" s="286"/>
      <c r="F31" s="286"/>
      <c r="G31" s="286"/>
      <c r="H31" s="286"/>
      <c r="I31" s="286"/>
      <c r="J31" s="292"/>
    </row>
    <row r="32" spans="2:11">
      <c r="B32" s="291" t="s">
        <v>389</v>
      </c>
      <c r="C32" s="286"/>
      <c r="D32" s="286"/>
      <c r="E32" s="286"/>
      <c r="F32" s="286"/>
      <c r="G32" s="286"/>
      <c r="H32" s="286"/>
      <c r="I32" s="286"/>
      <c r="J32" s="292"/>
    </row>
    <row r="33" spans="2:11">
      <c r="B33" s="291" t="s">
        <v>10</v>
      </c>
      <c r="C33" s="286">
        <v>3238544864.8899999</v>
      </c>
      <c r="D33" s="286">
        <v>1220933932.99</v>
      </c>
      <c r="E33" s="286">
        <v>0</v>
      </c>
      <c r="F33" s="286">
        <f>C33+D33+E33</f>
        <v>4459478797.8800001</v>
      </c>
      <c r="G33" s="286">
        <v>2357466302.3499999</v>
      </c>
      <c r="H33" s="286">
        <v>1559607864.8199999</v>
      </c>
      <c r="I33" s="286">
        <v>0</v>
      </c>
      <c r="J33" s="292">
        <f>G33+H33+I33</f>
        <v>3917074167.1700001</v>
      </c>
      <c r="K33" s="218"/>
    </row>
    <row r="34" spans="2:11">
      <c r="B34" s="293" t="s">
        <v>390</v>
      </c>
      <c r="C34" s="286">
        <f>C31+C32+C33</f>
        <v>3238544864.8899999</v>
      </c>
      <c r="D34" s="286">
        <f t="shared" ref="D34:E34" si="9">D31+D32+D33</f>
        <v>1220933932.99</v>
      </c>
      <c r="E34" s="286">
        <f t="shared" si="9"/>
        <v>0</v>
      </c>
      <c r="F34" s="286">
        <f>C34+D34+E34</f>
        <v>4459478797.8800001</v>
      </c>
      <c r="G34" s="286">
        <v>2357466302.3499999</v>
      </c>
      <c r="H34" s="286">
        <v>1559607864.8199999</v>
      </c>
      <c r="I34" s="286">
        <v>0</v>
      </c>
      <c r="J34" s="292">
        <f>G34+H34+I34</f>
        <v>3917074167.1700001</v>
      </c>
    </row>
    <row r="35" spans="2:11">
      <c r="B35" s="291"/>
      <c r="C35" s="285"/>
      <c r="D35" s="285"/>
      <c r="E35" s="285"/>
      <c r="F35" s="285"/>
      <c r="G35" s="285"/>
      <c r="H35" s="285"/>
      <c r="I35" s="285"/>
      <c r="J35" s="290"/>
    </row>
    <row r="36" spans="2:11" ht="13.5" thickBot="1">
      <c r="B36" s="294" t="s">
        <v>391</v>
      </c>
      <c r="C36" s="295">
        <v>5897082672.5100002</v>
      </c>
      <c r="D36" s="255">
        <v>994524239</v>
      </c>
      <c r="E36" s="295">
        <v>0</v>
      </c>
      <c r="F36" s="295">
        <f>C36+D36+E36</f>
        <v>6891606911.5100002</v>
      </c>
      <c r="G36" s="295">
        <v>5153121994.8900003</v>
      </c>
      <c r="H36" s="255">
        <v>565790902</v>
      </c>
      <c r="I36" s="295">
        <v>0</v>
      </c>
      <c r="J36" s="527">
        <f>G36+H36+I36</f>
        <v>5718912896.8900003</v>
      </c>
      <c r="K36" s="218"/>
    </row>
    <row r="37" spans="2:11">
      <c r="B37" s="167" t="s">
        <v>17</v>
      </c>
      <c r="C37" s="168"/>
      <c r="D37" s="167"/>
      <c r="E37" s="167"/>
      <c r="F37" s="167"/>
      <c r="H37" s="167"/>
    </row>
    <row r="38" spans="2:11">
      <c r="B38" s="167" t="s">
        <v>135</v>
      </c>
      <c r="C38" s="168"/>
      <c r="D38" s="167"/>
      <c r="E38" s="167"/>
      <c r="F38" s="167" t="s">
        <v>537</v>
      </c>
      <c r="H38" s="170"/>
    </row>
    <row r="39" spans="2:11">
      <c r="B39" s="167" t="s">
        <v>538</v>
      </c>
      <c r="C39" s="168"/>
      <c r="D39" s="167"/>
      <c r="E39" s="167"/>
      <c r="F39" s="167"/>
      <c r="G39" s="170"/>
      <c r="H39" s="167"/>
    </row>
    <row r="40" spans="2:11">
      <c r="B40" s="167"/>
      <c r="C40" s="168"/>
      <c r="D40" s="167"/>
      <c r="E40" s="167"/>
      <c r="F40" s="167"/>
      <c r="G40" s="170"/>
      <c r="H40" s="167"/>
    </row>
    <row r="41" spans="2:11">
      <c r="B41" s="167"/>
      <c r="C41" s="168"/>
      <c r="D41" s="167"/>
      <c r="E41" s="167"/>
      <c r="F41" s="167"/>
      <c r="G41" s="170"/>
      <c r="H41" s="167"/>
    </row>
    <row r="42" spans="2:11">
      <c r="B42" s="167" t="s">
        <v>494</v>
      </c>
      <c r="C42" s="168"/>
      <c r="D42" s="167"/>
      <c r="E42" s="167"/>
      <c r="F42" s="167" t="s">
        <v>497</v>
      </c>
      <c r="G42" s="375" t="s">
        <v>495</v>
      </c>
      <c r="H42" s="376" t="s">
        <v>530</v>
      </c>
    </row>
    <row r="43" spans="2:11">
      <c r="B43" s="167" t="s">
        <v>539</v>
      </c>
      <c r="D43" s="170"/>
      <c r="E43" s="170"/>
    </row>
    <row r="44" spans="2:11">
      <c r="C44" s="168"/>
      <c r="D44" s="167"/>
      <c r="E44" s="167"/>
      <c r="F44" s="167"/>
      <c r="G44" s="167"/>
      <c r="H44" s="167"/>
    </row>
    <row r="45" spans="2:11">
      <c r="C45" s="168"/>
      <c r="D45" s="167"/>
      <c r="E45" s="167"/>
      <c r="F45" s="167"/>
      <c r="G45" s="167"/>
    </row>
    <row r="52" spans="4:4">
      <c r="D52" s="285"/>
    </row>
  </sheetData>
  <customSheetViews>
    <customSheetView guid="{72AECFDF-D723-4070-8275-F05FB2F264F1}">
      <selection activeCell="J23" sqref="J23"/>
      <pageMargins left="0.7" right="0.7" top="0.75" bottom="0.75" header="0.3" footer="0.3"/>
      <pageSetup paperSize="9" orientation="portrait" r:id="rId1"/>
    </customSheetView>
    <customSheetView guid="{9A88D99D-9CFD-4D2A-BD86-16F4695A8B22}">
      <selection activeCell="H17" sqref="H17"/>
      <pageMargins left="0.7" right="0.7" top="0.75" bottom="0.75" header="0.3" footer="0.3"/>
      <pageSetup paperSize="9" orientation="portrait" r:id="rId2"/>
    </customSheetView>
  </customSheetViews>
  <mergeCells count="2">
    <mergeCell ref="C1:F1"/>
    <mergeCell ref="G1:J1"/>
  </mergeCells>
  <pageMargins left="0.17" right="0.17" top="0.41" bottom="0.75" header="0.3" footer="0.3"/>
  <pageSetup paperSize="9" scale="79"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3"/>
  <sheetViews>
    <sheetView workbookViewId="0">
      <selection activeCell="H37" sqref="H37"/>
    </sheetView>
  </sheetViews>
  <sheetFormatPr defaultColWidth="9.140625" defaultRowHeight="12.75"/>
  <cols>
    <col min="1" max="1" width="9.140625" style="186"/>
    <col min="2" max="2" width="56.85546875" style="186" bestFit="1" customWidth="1"/>
    <col min="3" max="3" width="28.140625" style="186" bestFit="1" customWidth="1"/>
    <col min="4" max="4" width="18.7109375" style="213" bestFit="1" customWidth="1"/>
    <col min="5" max="5" width="9.140625" style="186"/>
    <col min="6" max="6" width="11.28515625" style="186" bestFit="1" customWidth="1"/>
    <col min="7" max="7" width="9.140625" style="186"/>
    <col min="8" max="8" width="12.28515625" style="186" bestFit="1" customWidth="1"/>
    <col min="9" max="16384" width="9.140625" style="186"/>
  </cols>
  <sheetData>
    <row r="1" spans="2:6" ht="16.5" thickBot="1">
      <c r="B1" s="738" t="s">
        <v>366</v>
      </c>
      <c r="C1" s="739"/>
      <c r="D1" s="740"/>
    </row>
    <row r="2" spans="2:6" ht="13.5" thickBot="1">
      <c r="B2" s="280">
        <v>2014</v>
      </c>
      <c r="C2" s="239"/>
      <c r="D2" s="231"/>
    </row>
    <row r="3" spans="2:6" ht="13.5" thickBot="1">
      <c r="B3" s="269" t="s">
        <v>341</v>
      </c>
      <c r="C3" s="239"/>
      <c r="D3" s="277" t="s">
        <v>365</v>
      </c>
    </row>
    <row r="4" spans="2:6">
      <c r="B4" s="195"/>
      <c r="C4" s="239"/>
      <c r="D4" s="231"/>
    </row>
    <row r="5" spans="2:6">
      <c r="B5" s="195" t="s">
        <v>344</v>
      </c>
      <c r="C5" s="239"/>
      <c r="D5" s="231">
        <f>'PP &amp; equip'!K22</f>
        <v>14604649.08</v>
      </c>
    </row>
    <row r="6" spans="2:6">
      <c r="B6" s="195" t="s">
        <v>343</v>
      </c>
      <c r="C6" s="239"/>
      <c r="D6" s="231">
        <v>14476393.189999999</v>
      </c>
    </row>
    <row r="7" spans="2:6">
      <c r="B7" s="195"/>
      <c r="C7" s="239"/>
      <c r="D7" s="231"/>
    </row>
    <row r="8" spans="2:6" ht="13.5" thickBot="1">
      <c r="B8" s="195"/>
      <c r="C8" s="239"/>
      <c r="D8" s="281">
        <f>+D6-D5</f>
        <v>-128255.8900000006</v>
      </c>
    </row>
    <row r="9" spans="2:6" ht="14.25" thickTop="1" thickBot="1">
      <c r="B9" s="195"/>
      <c r="C9" s="239"/>
      <c r="D9" s="231"/>
    </row>
    <row r="10" spans="2:6" ht="13.5" thickBot="1">
      <c r="B10" s="195"/>
      <c r="C10" s="278" t="s">
        <v>342</v>
      </c>
      <c r="D10" s="279">
        <f>ROUND(D8*30%,0)</f>
        <v>-38477</v>
      </c>
      <c r="F10" s="218"/>
    </row>
    <row r="11" spans="2:6">
      <c r="B11" s="195"/>
      <c r="C11" s="239"/>
      <c r="D11" s="231"/>
    </row>
    <row r="12" spans="2:6" ht="13.5" thickBot="1">
      <c r="B12" s="195"/>
      <c r="C12" s="239"/>
      <c r="D12" s="231"/>
    </row>
    <row r="13" spans="2:6" ht="13.5" thickBot="1">
      <c r="B13" s="276">
        <v>2015</v>
      </c>
      <c r="C13" s="239"/>
      <c r="D13" s="277" t="s">
        <v>365</v>
      </c>
    </row>
    <row r="14" spans="2:6" ht="13.5" thickBot="1">
      <c r="B14" s="269" t="s">
        <v>341</v>
      </c>
      <c r="C14" s="239"/>
      <c r="D14" s="231"/>
    </row>
    <row r="15" spans="2:6">
      <c r="B15" s="195"/>
      <c r="C15" s="239"/>
      <c r="D15" s="231"/>
    </row>
    <row r="16" spans="2:6">
      <c r="B16" s="195" t="s">
        <v>344</v>
      </c>
      <c r="C16" s="239"/>
      <c r="D16" s="231">
        <f>'PP &amp; equip'!K26</f>
        <v>7067023.6099999994</v>
      </c>
    </row>
    <row r="17" spans="2:8">
      <c r="B17" s="195" t="s">
        <v>343</v>
      </c>
      <c r="C17" s="239"/>
      <c r="D17" s="231">
        <f>'Other Notes Final'!C215</f>
        <v>0</v>
      </c>
    </row>
    <row r="18" spans="2:8">
      <c r="B18" s="195"/>
      <c r="C18" s="239"/>
      <c r="D18" s="231"/>
    </row>
    <row r="19" spans="2:8" ht="13.5" thickBot="1">
      <c r="B19" s="195"/>
      <c r="C19" s="239"/>
      <c r="D19" s="281">
        <f>+D17-D16</f>
        <v>-7067023.6099999994</v>
      </c>
    </row>
    <row r="20" spans="2:8" ht="14.25" thickTop="1" thickBot="1">
      <c r="B20" s="195"/>
      <c r="C20" s="239"/>
      <c r="D20" s="231"/>
    </row>
    <row r="21" spans="2:8" ht="13.5" thickBot="1">
      <c r="B21" s="195"/>
      <c r="C21" s="278" t="s">
        <v>342</v>
      </c>
      <c r="D21" s="279">
        <f>ROUND(D19*30%,0)</f>
        <v>-2120107</v>
      </c>
    </row>
    <row r="22" spans="2:8" ht="13.5" thickBot="1">
      <c r="B22" s="199"/>
      <c r="C22" s="282"/>
      <c r="D22" s="256"/>
    </row>
    <row r="23" spans="2:8">
      <c r="B23" s="167" t="s">
        <v>17</v>
      </c>
      <c r="D23" s="167"/>
      <c r="E23" s="167"/>
      <c r="F23" s="167"/>
      <c r="H23" s="167"/>
    </row>
    <row r="24" spans="2:8">
      <c r="B24" s="167" t="s">
        <v>135</v>
      </c>
      <c r="C24" s="167" t="s">
        <v>537</v>
      </c>
      <c r="D24" s="167"/>
      <c r="E24" s="167"/>
      <c r="F24" s="171"/>
      <c r="G24" s="167"/>
      <c r="H24" s="170"/>
    </row>
    <row r="25" spans="2:8">
      <c r="B25" s="167" t="s">
        <v>538</v>
      </c>
      <c r="C25" s="168"/>
      <c r="D25" s="167"/>
      <c r="E25" s="167"/>
      <c r="F25" s="167"/>
      <c r="G25" s="170"/>
      <c r="H25" s="167"/>
    </row>
    <row r="26" spans="2:8">
      <c r="B26" s="167"/>
      <c r="E26" s="170"/>
      <c r="F26" s="167"/>
      <c r="G26" s="375"/>
      <c r="H26" s="376"/>
    </row>
    <row r="27" spans="2:8">
      <c r="B27" s="167" t="s">
        <v>494</v>
      </c>
      <c r="C27" s="167" t="s">
        <v>543</v>
      </c>
      <c r="D27" s="170" t="s">
        <v>542</v>
      </c>
      <c r="E27" s="167"/>
      <c r="F27" s="167"/>
      <c r="G27" s="167"/>
      <c r="H27" s="167"/>
    </row>
    <row r="28" spans="2:8">
      <c r="B28" s="167" t="s">
        <v>539</v>
      </c>
      <c r="C28" s="168"/>
      <c r="D28" s="167"/>
      <c r="E28" s="167"/>
      <c r="F28" s="167"/>
      <c r="G28" s="167"/>
    </row>
    <row r="29" spans="2:8">
      <c r="B29" s="167"/>
      <c r="C29" s="168"/>
      <c r="D29" s="167"/>
    </row>
    <row r="30" spans="2:8">
      <c r="B30" s="188"/>
      <c r="C30" s="168"/>
      <c r="D30" s="167"/>
    </row>
    <row r="31" spans="2:8">
      <c r="B31" s="212"/>
      <c r="C31" s="168"/>
      <c r="D31" s="167"/>
    </row>
    <row r="32" spans="2:8">
      <c r="B32" s="212"/>
      <c r="C32" s="168"/>
      <c r="D32" s="167"/>
    </row>
    <row r="33" spans="2:4">
      <c r="B33" s="210"/>
      <c r="C33" s="211"/>
      <c r="D33" s="186"/>
    </row>
  </sheetData>
  <customSheetViews>
    <customSheetView guid="{72AECFDF-D723-4070-8275-F05FB2F264F1}">
      <selection activeCell="B1" sqref="B1:D1"/>
      <pageMargins left="0.7" right="0.7" top="0.75" bottom="0.75" header="0.3" footer="0.3"/>
    </customSheetView>
    <customSheetView guid="{9A88D99D-9CFD-4D2A-BD86-16F4695A8B22}">
      <selection activeCell="D21" sqref="D21"/>
      <pageMargins left="0.7" right="0.7" top="0.75" bottom="0.75" header="0.3" footer="0.3"/>
    </customSheetView>
  </customSheetViews>
  <mergeCells count="1">
    <mergeCell ref="B1:D1"/>
  </mergeCells>
  <pageMargins left="0.41" right="0.17" top="0.75" bottom="0.75" header="0.3" footer="0.3"/>
  <pageSetup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3"/>
  <sheetViews>
    <sheetView zoomScaleNormal="100" workbookViewId="0">
      <selection activeCell="H33" sqref="H33"/>
    </sheetView>
  </sheetViews>
  <sheetFormatPr defaultColWidth="9.140625" defaultRowHeight="12.75"/>
  <cols>
    <col min="1" max="1" width="9.140625" style="186"/>
    <col min="2" max="2" width="52.7109375" style="186" bestFit="1" customWidth="1"/>
    <col min="3" max="3" width="8.28515625" style="189" customWidth="1"/>
    <col min="4" max="4" width="19.7109375" style="186" hidden="1" customWidth="1"/>
    <col min="5" max="5" width="20" style="186" hidden="1" customWidth="1"/>
    <col min="6" max="6" width="17.85546875" style="213" hidden="1" customWidth="1"/>
    <col min="7" max="7" width="21.85546875" style="186" bestFit="1" customWidth="1"/>
    <col min="8" max="8" width="19.28515625" style="186" customWidth="1"/>
    <col min="9" max="9" width="19.7109375" style="186" hidden="1" customWidth="1"/>
    <col min="10" max="10" width="17.28515625" style="186" hidden="1" customWidth="1"/>
    <col min="11" max="12" width="18.42578125" style="186" hidden="1" customWidth="1"/>
    <col min="13" max="13" width="18.28515625" style="186" bestFit="1" customWidth="1"/>
    <col min="14" max="14" width="12.85546875" style="186" bestFit="1" customWidth="1"/>
    <col min="15" max="16384" width="9.140625" style="186"/>
  </cols>
  <sheetData>
    <row r="1" spans="2:14" ht="15.75" customHeight="1" thickBot="1">
      <c r="B1" s="596"/>
      <c r="C1" s="596"/>
      <c r="D1" s="596"/>
      <c r="E1" s="596"/>
      <c r="F1" s="596"/>
      <c r="G1" s="596"/>
      <c r="H1" s="596"/>
      <c r="I1" s="223"/>
    </row>
    <row r="2" spans="2:14" ht="16.5" thickBot="1">
      <c r="B2" s="603" t="s">
        <v>491</v>
      </c>
      <c r="C2" s="604"/>
      <c r="D2" s="604"/>
      <c r="E2" s="604"/>
      <c r="F2" s="604"/>
      <c r="G2" s="604"/>
      <c r="H2" s="605"/>
    </row>
    <row r="3" spans="2:14" ht="28.9" customHeight="1">
      <c r="B3" s="584" t="s">
        <v>415</v>
      </c>
      <c r="C3" s="585"/>
      <c r="D3" s="585"/>
      <c r="E3" s="585"/>
      <c r="F3" s="585"/>
      <c r="G3" s="585"/>
      <c r="H3" s="606"/>
      <c r="J3" s="223"/>
    </row>
    <row r="4" spans="2:14" ht="15" customHeight="1" thickBot="1">
      <c r="B4" s="224"/>
      <c r="C4" s="225"/>
      <c r="D4" s="225"/>
      <c r="E4" s="225"/>
      <c r="F4" s="226"/>
      <c r="G4" s="225"/>
      <c r="H4" s="226"/>
    </row>
    <row r="5" spans="2:14" ht="28.5" customHeight="1" thickBot="1">
      <c r="B5" s="227"/>
      <c r="C5" s="228"/>
      <c r="D5" s="597" t="s">
        <v>207</v>
      </c>
      <c r="E5" s="598"/>
      <c r="F5" s="599"/>
      <c r="G5" s="607" t="s">
        <v>207</v>
      </c>
      <c r="H5" s="608"/>
    </row>
    <row r="6" spans="2:14" ht="15" customHeight="1" thickBot="1">
      <c r="B6" s="229"/>
      <c r="C6" s="228"/>
      <c r="D6" s="600" t="s">
        <v>329</v>
      </c>
      <c r="E6" s="601"/>
      <c r="F6" s="602"/>
      <c r="G6" s="600" t="s">
        <v>329</v>
      </c>
      <c r="H6" s="602"/>
      <c r="J6" s="218">
        <f>G9+G12+G18</f>
        <v>569524412.32999992</v>
      </c>
    </row>
    <row r="7" spans="2:14" ht="13.5" thickBot="1">
      <c r="B7" s="195"/>
      <c r="C7" s="330" t="s">
        <v>418</v>
      </c>
      <c r="D7" s="331" t="s">
        <v>327</v>
      </c>
      <c r="E7" s="332" t="s">
        <v>326</v>
      </c>
      <c r="F7" s="333" t="s">
        <v>328</v>
      </c>
      <c r="G7" s="442" t="s">
        <v>574</v>
      </c>
      <c r="H7" s="331" t="s">
        <v>508</v>
      </c>
      <c r="J7" s="218">
        <f>G10+G24+G27</f>
        <v>353862784.53999996</v>
      </c>
      <c r="K7" s="218">
        <f>J7-'[2]Income &amp; Expenditure'!$D$40</f>
        <v>-89103258.980000019</v>
      </c>
    </row>
    <row r="8" spans="2:14">
      <c r="B8" s="195"/>
      <c r="C8" s="228"/>
      <c r="D8" s="230"/>
      <c r="E8" s="230"/>
      <c r="F8" s="231"/>
      <c r="G8" s="239"/>
      <c r="H8" s="303"/>
    </row>
    <row r="9" spans="2:14">
      <c r="B9" s="195" t="s">
        <v>186</v>
      </c>
      <c r="C9" s="228">
        <v>5</v>
      </c>
      <c r="D9" s="222">
        <f>'NOTES '!D11</f>
        <v>470728742.01000005</v>
      </c>
      <c r="E9" s="222">
        <f>'NOTES '!E11</f>
        <v>470728742.01000005</v>
      </c>
      <c r="F9" s="231">
        <f>'NOTES '!F11</f>
        <v>389178908.12</v>
      </c>
      <c r="G9" s="222">
        <f>'Other Notes Final'!C10</f>
        <v>477750312.09000003</v>
      </c>
      <c r="H9" s="231">
        <f>+'Other Notes Final'!D10</f>
        <v>534625353.17000002</v>
      </c>
      <c r="J9" s="218">
        <f>G9-D9</f>
        <v>7021570.0799999833</v>
      </c>
      <c r="K9" s="218">
        <f>H9-E9</f>
        <v>63896611.159999967</v>
      </c>
      <c r="L9" s="218" t="e">
        <f>#REF!-F9</f>
        <v>#REF!</v>
      </c>
      <c r="M9" s="218"/>
      <c r="N9" s="218"/>
    </row>
    <row r="10" spans="2:14">
      <c r="B10" s="195" t="s">
        <v>188</v>
      </c>
      <c r="C10" s="228">
        <v>6</v>
      </c>
      <c r="D10" s="222">
        <f>'NOTES '!D16</f>
        <v>276735343.63999999</v>
      </c>
      <c r="E10" s="222">
        <f>'NOTES '!E16</f>
        <v>276735343.63999999</v>
      </c>
      <c r="F10" s="231">
        <f>'NOTES '!F16</f>
        <v>166692287.96000001</v>
      </c>
      <c r="G10" s="222">
        <f>+'Other Notes Final'!C21</f>
        <v>256830779.34999999</v>
      </c>
      <c r="H10" s="231">
        <f>+'Other Notes Final'!D21</f>
        <v>295572340.58000004</v>
      </c>
      <c r="J10" s="218">
        <f>G9+G12+G18</f>
        <v>569524412.32999992</v>
      </c>
      <c r="K10" s="218">
        <f t="shared" ref="K10:K46" si="0">H10-E10</f>
        <v>18836996.940000057</v>
      </c>
      <c r="L10" s="218" t="e">
        <f>#REF!-F10</f>
        <v>#REF!</v>
      </c>
      <c r="M10" s="218"/>
    </row>
    <row r="11" spans="2:14">
      <c r="B11" s="195" t="s">
        <v>215</v>
      </c>
      <c r="C11" s="228"/>
      <c r="D11" s="214">
        <f t="shared" ref="D11:H11" si="1">+D9-D10</f>
        <v>193993398.37000006</v>
      </c>
      <c r="E11" s="214">
        <f t="shared" si="1"/>
        <v>193993398.37000006</v>
      </c>
      <c r="F11" s="232">
        <f t="shared" si="1"/>
        <v>222486620.16</v>
      </c>
      <c r="G11" s="214">
        <f t="shared" si="1"/>
        <v>220919532.74000004</v>
      </c>
      <c r="H11" s="232">
        <f t="shared" si="1"/>
        <v>239053012.58999997</v>
      </c>
      <c r="J11" s="218">
        <f>G10+G28</f>
        <v>360929808.14999998</v>
      </c>
      <c r="K11" s="218">
        <f t="shared" si="0"/>
        <v>45059614.219999909</v>
      </c>
      <c r="L11" s="218" t="e">
        <f>#REF!-F11</f>
        <v>#REF!</v>
      </c>
      <c r="M11" s="218"/>
    </row>
    <row r="12" spans="2:14">
      <c r="B12" s="195" t="s">
        <v>191</v>
      </c>
      <c r="C12" s="228">
        <v>7</v>
      </c>
      <c r="D12" s="222">
        <f>'NOTES '!D19</f>
        <v>59050477.640000001</v>
      </c>
      <c r="E12" s="222">
        <f>'NOTES '!E19</f>
        <v>59050477.640000001</v>
      </c>
      <c r="F12" s="231">
        <f>'NOTES '!F19</f>
        <v>31944661.949999999</v>
      </c>
      <c r="G12" s="222">
        <f>+'Other Notes Final'!C29</f>
        <v>77902289.679999992</v>
      </c>
      <c r="H12" s="231">
        <f>+'Other Notes Final'!D29</f>
        <v>98486878.219999999</v>
      </c>
      <c r="J12" s="218">
        <f>J10-J11</f>
        <v>208594604.17999995</v>
      </c>
      <c r="K12" s="218">
        <f t="shared" si="0"/>
        <v>39436400.579999998</v>
      </c>
      <c r="L12" s="218" t="e">
        <f>#REF!-F12</f>
        <v>#REF!</v>
      </c>
      <c r="M12" s="218"/>
    </row>
    <row r="13" spans="2:14">
      <c r="B13" s="195" t="s">
        <v>216</v>
      </c>
      <c r="C13" s="228"/>
      <c r="D13" s="222">
        <v>0</v>
      </c>
      <c r="E13" s="222">
        <v>0</v>
      </c>
      <c r="F13" s="231">
        <v>0</v>
      </c>
      <c r="G13" s="222">
        <v>0</v>
      </c>
      <c r="H13" s="231">
        <v>0</v>
      </c>
      <c r="J13" s="218">
        <f>J12-G20</f>
        <v>123978864.99604994</v>
      </c>
      <c r="K13" s="218">
        <f t="shared" si="0"/>
        <v>0</v>
      </c>
      <c r="L13" s="218" t="e">
        <f>#REF!-F13</f>
        <v>#REF!</v>
      </c>
      <c r="M13" s="218"/>
    </row>
    <row r="14" spans="2:14">
      <c r="B14" s="195" t="s">
        <v>217</v>
      </c>
      <c r="C14" s="228"/>
      <c r="D14" s="215">
        <f t="shared" ref="D14:H14" si="2">+D12-D13</f>
        <v>59050477.640000001</v>
      </c>
      <c r="E14" s="215">
        <f t="shared" si="2"/>
        <v>59050477.640000001</v>
      </c>
      <c r="F14" s="233">
        <f t="shared" si="2"/>
        <v>31944661.949999999</v>
      </c>
      <c r="G14" s="215">
        <f t="shared" si="2"/>
        <v>77902289.679999992</v>
      </c>
      <c r="H14" s="233">
        <f t="shared" si="2"/>
        <v>98486878.219999999</v>
      </c>
      <c r="J14" s="218">
        <f t="shared" ref="J14:J46" si="3">G14-D14</f>
        <v>18851812.039999992</v>
      </c>
      <c r="K14" s="218">
        <f t="shared" si="0"/>
        <v>39436400.579999998</v>
      </c>
      <c r="L14" s="218" t="e">
        <f>#REF!-F14</f>
        <v>#REF!</v>
      </c>
      <c r="M14" s="218"/>
    </row>
    <row r="15" spans="2:14">
      <c r="B15" s="195" t="s">
        <v>218</v>
      </c>
      <c r="C15" s="228"/>
      <c r="D15" s="222">
        <v>0</v>
      </c>
      <c r="E15" s="222">
        <v>0</v>
      </c>
      <c r="F15" s="231"/>
      <c r="G15" s="222">
        <v>0</v>
      </c>
      <c r="H15" s="231">
        <v>0</v>
      </c>
      <c r="J15" s="218">
        <f t="shared" si="3"/>
        <v>0</v>
      </c>
      <c r="K15" s="218">
        <f t="shared" si="0"/>
        <v>0</v>
      </c>
      <c r="L15" s="218" t="e">
        <f>#REF!-F15</f>
        <v>#REF!</v>
      </c>
    </row>
    <row r="16" spans="2:14">
      <c r="B16" s="195" t="s">
        <v>219</v>
      </c>
      <c r="C16" s="228"/>
      <c r="D16" s="222"/>
      <c r="E16" s="222"/>
      <c r="F16" s="231"/>
      <c r="G16" s="222">
        <v>0</v>
      </c>
      <c r="H16" s="231">
        <v>0</v>
      </c>
      <c r="J16" s="218">
        <f t="shared" si="3"/>
        <v>0</v>
      </c>
      <c r="K16" s="218">
        <f t="shared" si="0"/>
        <v>0</v>
      </c>
      <c r="L16" s="218" t="e">
        <f>#REF!-F16</f>
        <v>#REF!</v>
      </c>
    </row>
    <row r="17" spans="2:14">
      <c r="B17" s="195" t="s">
        <v>220</v>
      </c>
      <c r="C17" s="228"/>
      <c r="D17" s="222">
        <v>0</v>
      </c>
      <c r="E17" s="222">
        <v>0</v>
      </c>
      <c r="F17" s="231"/>
      <c r="G17" s="222">
        <v>0</v>
      </c>
      <c r="H17" s="231">
        <v>0</v>
      </c>
      <c r="J17" s="218">
        <f t="shared" si="3"/>
        <v>0</v>
      </c>
      <c r="K17" s="218">
        <f t="shared" si="0"/>
        <v>0</v>
      </c>
      <c r="L17" s="218" t="e">
        <f>#REF!-F17</f>
        <v>#REF!</v>
      </c>
    </row>
    <row r="18" spans="2:14">
      <c r="B18" s="195" t="s">
        <v>194</v>
      </c>
      <c r="C18" s="228">
        <v>8</v>
      </c>
      <c r="D18" s="216">
        <f>'NOTES '!D28</f>
        <v>46939091.949999996</v>
      </c>
      <c r="E18" s="216">
        <f>'NOTES '!E28</f>
        <v>46939091.949999996</v>
      </c>
      <c r="F18" s="216">
        <f>'NOTES '!F28</f>
        <v>30279954.5</v>
      </c>
      <c r="G18" s="217">
        <f>+'Other Notes Final'!C39</f>
        <v>13871810.559999999</v>
      </c>
      <c r="H18" s="237">
        <f>+'Other Notes Final'!D39</f>
        <v>23196259.670000002</v>
      </c>
      <c r="J18" s="218">
        <f t="shared" si="3"/>
        <v>-33067281.389999997</v>
      </c>
      <c r="K18" s="218">
        <f t="shared" si="0"/>
        <v>-23742832.279999994</v>
      </c>
      <c r="L18" s="218" t="e">
        <f>#REF!-F18</f>
        <v>#REF!</v>
      </c>
    </row>
    <row r="19" spans="2:14">
      <c r="B19" s="195" t="s">
        <v>221</v>
      </c>
      <c r="C19" s="228"/>
      <c r="D19" s="235">
        <f t="shared" ref="D19:H19" si="4">+D11+D14+D18</f>
        <v>299982967.96000004</v>
      </c>
      <c r="E19" s="235">
        <f t="shared" si="4"/>
        <v>299982967.96000004</v>
      </c>
      <c r="F19" s="236">
        <f t="shared" si="4"/>
        <v>284711236.61000001</v>
      </c>
      <c r="G19" s="235">
        <f t="shared" si="4"/>
        <v>312693632.98000002</v>
      </c>
      <c r="H19" s="236">
        <f t="shared" si="4"/>
        <v>360736150.47999996</v>
      </c>
      <c r="J19" s="218">
        <f t="shared" si="3"/>
        <v>12710665.019999981</v>
      </c>
      <c r="K19" s="218">
        <f t="shared" si="0"/>
        <v>60753182.519999921</v>
      </c>
      <c r="L19" s="218" t="e">
        <f>#REF!-F19</f>
        <v>#REF!</v>
      </c>
    </row>
    <row r="20" spans="2:14">
      <c r="B20" s="195" t="s">
        <v>337</v>
      </c>
      <c r="C20" s="228">
        <v>9</v>
      </c>
      <c r="D20" s="222">
        <f>'NOTES '!D36</f>
        <v>26304467.25</v>
      </c>
      <c r="E20" s="222">
        <f>'NOTES '!E36</f>
        <v>26304467.25</v>
      </c>
      <c r="F20" s="231">
        <f>'NOTES '!F36</f>
        <v>43267490.140000001</v>
      </c>
      <c r="G20" s="222">
        <f>+'Other Notes Final'!C51</f>
        <v>84615739.183950007</v>
      </c>
      <c r="H20" s="231">
        <f>+'Other Notes Final'!D51</f>
        <v>23300440.299999997</v>
      </c>
      <c r="J20" s="218">
        <f t="shared" si="3"/>
        <v>58311271.933950007</v>
      </c>
      <c r="K20" s="218">
        <f t="shared" si="0"/>
        <v>-3004026.950000003</v>
      </c>
      <c r="L20" s="218" t="e">
        <f>#REF!-F20</f>
        <v>#REF!</v>
      </c>
    </row>
    <row r="21" spans="2:14">
      <c r="B21" s="195" t="s">
        <v>222</v>
      </c>
      <c r="C21" s="228"/>
      <c r="D21" s="216">
        <v>0</v>
      </c>
      <c r="E21" s="216">
        <v>0</v>
      </c>
      <c r="F21" s="234">
        <v>0</v>
      </c>
      <c r="G21" s="222">
        <v>0</v>
      </c>
      <c r="H21" s="231">
        <v>0</v>
      </c>
      <c r="J21" s="218">
        <f t="shared" si="3"/>
        <v>0</v>
      </c>
      <c r="K21" s="218">
        <f t="shared" si="0"/>
        <v>0</v>
      </c>
      <c r="L21" s="218" t="e">
        <f>#REF!-F21</f>
        <v>#REF!</v>
      </c>
    </row>
    <row r="22" spans="2:14">
      <c r="B22" s="198" t="s">
        <v>223</v>
      </c>
      <c r="C22" s="228"/>
      <c r="D22" s="235">
        <f t="shared" ref="D22:H22" si="5">+D19-D20-D21</f>
        <v>273678500.71000004</v>
      </c>
      <c r="E22" s="235">
        <f t="shared" si="5"/>
        <v>273678500.71000004</v>
      </c>
      <c r="F22" s="235">
        <f t="shared" si="5"/>
        <v>241443746.47000003</v>
      </c>
      <c r="G22" s="215">
        <f t="shared" si="5"/>
        <v>228077893.79605001</v>
      </c>
      <c r="H22" s="233">
        <f t="shared" si="5"/>
        <v>337435710.17999995</v>
      </c>
      <c r="J22" s="218">
        <f t="shared" si="3"/>
        <v>-45600606.913950026</v>
      </c>
      <c r="K22" s="218">
        <f t="shared" si="0"/>
        <v>63757209.469999909</v>
      </c>
      <c r="L22" s="218" t="e">
        <f>#REF!-F22</f>
        <v>#REF!</v>
      </c>
    </row>
    <row r="23" spans="2:14">
      <c r="B23" s="195"/>
      <c r="C23" s="228"/>
      <c r="D23" s="222"/>
      <c r="E23" s="222"/>
      <c r="F23" s="231"/>
      <c r="G23" s="239"/>
      <c r="H23" s="303"/>
      <c r="J23" s="218">
        <f t="shared" si="3"/>
        <v>0</v>
      </c>
      <c r="K23" s="218">
        <f t="shared" si="0"/>
        <v>0</v>
      </c>
      <c r="L23" s="218" t="e">
        <f>#REF!-F23</f>
        <v>#REF!</v>
      </c>
    </row>
    <row r="24" spans="2:14">
      <c r="B24" s="195" t="s">
        <v>199</v>
      </c>
      <c r="C24" s="228">
        <v>10</v>
      </c>
      <c r="D24" s="222">
        <f>'NOTES '!D40</f>
        <v>50274230.770000003</v>
      </c>
      <c r="E24" s="222">
        <f>'NOTES '!E40</f>
        <v>50274230.770000003</v>
      </c>
      <c r="F24" s="231">
        <f>'NOTES '!F40</f>
        <v>41033543.399999999</v>
      </c>
      <c r="G24" s="222">
        <f>+'Other Notes Final'!C59</f>
        <v>49361325.420000002</v>
      </c>
      <c r="H24" s="231">
        <f>+'Other Notes Final'!D59</f>
        <v>57518176.490000002</v>
      </c>
      <c r="J24" s="218">
        <f t="shared" si="3"/>
        <v>-912905.35000000149</v>
      </c>
      <c r="K24" s="218">
        <f t="shared" si="0"/>
        <v>7243945.7199999988</v>
      </c>
      <c r="L24" s="218" t="e">
        <f>#REF!-F24</f>
        <v>#REF!</v>
      </c>
      <c r="M24" s="218">
        <f>G24+G27</f>
        <v>97032005.189999998</v>
      </c>
    </row>
    <row r="25" spans="2:14">
      <c r="B25" s="195" t="s">
        <v>224</v>
      </c>
      <c r="C25" s="228"/>
      <c r="D25" s="222">
        <f>'PP &amp; equip'!K26</f>
        <v>7067023.6099999994</v>
      </c>
      <c r="E25" s="222">
        <f>'PP &amp; equip'!K22</f>
        <v>14604649.08</v>
      </c>
      <c r="F25" s="231">
        <v>12749895.949999999</v>
      </c>
      <c r="G25" s="356">
        <f>+'PP &amp; equip'!K26</f>
        <v>7067023.6099999994</v>
      </c>
      <c r="H25" s="443">
        <f>+'PP &amp; equip'!K22</f>
        <v>14604649.08</v>
      </c>
      <c r="J25" s="218">
        <f t="shared" si="3"/>
        <v>0</v>
      </c>
      <c r="K25" s="218">
        <f t="shared" si="0"/>
        <v>0</v>
      </c>
      <c r="L25" s="218" t="e">
        <f>#REF!-F25</f>
        <v>#REF!</v>
      </c>
    </row>
    <row r="26" spans="2:14">
      <c r="B26" s="195" t="s">
        <v>225</v>
      </c>
      <c r="C26" s="228"/>
      <c r="D26" s="222"/>
      <c r="E26" s="222"/>
      <c r="F26" s="231"/>
      <c r="G26" s="222">
        <v>0</v>
      </c>
      <c r="H26" s="231">
        <v>0</v>
      </c>
      <c r="I26" s="186">
        <f>G29*30%</f>
        <v>37193659.498815</v>
      </c>
      <c r="J26" s="218">
        <f t="shared" si="3"/>
        <v>0</v>
      </c>
      <c r="K26" s="218">
        <f t="shared" si="0"/>
        <v>0</v>
      </c>
      <c r="L26" s="218" t="e">
        <f>#REF!-F26</f>
        <v>#REF!</v>
      </c>
    </row>
    <row r="27" spans="2:14">
      <c r="B27" s="195" t="s">
        <v>208</v>
      </c>
      <c r="C27" s="228">
        <v>11</v>
      </c>
      <c r="D27" s="217">
        <f>'NOTES '!D49</f>
        <v>61649028.57</v>
      </c>
      <c r="E27" s="217">
        <f>'NOTES '!E49</f>
        <v>61649028.57</v>
      </c>
      <c r="F27" s="237">
        <f>'NOTES '!F49</f>
        <v>56179400.789999999</v>
      </c>
      <c r="G27" s="222">
        <f>+'Other Notes Final'!C75</f>
        <v>47670679.769999996</v>
      </c>
      <c r="H27" s="231">
        <f>+'Other Notes Final'!D75</f>
        <v>75272487.120000005</v>
      </c>
      <c r="J27" s="218">
        <f t="shared" si="3"/>
        <v>-13978348.800000004</v>
      </c>
      <c r="K27" s="218">
        <f t="shared" si="0"/>
        <v>13623458.550000004</v>
      </c>
      <c r="L27" s="218" t="e">
        <f>#REF!-F27</f>
        <v>#REF!</v>
      </c>
    </row>
    <row r="28" spans="2:14">
      <c r="B28" s="195" t="s">
        <v>226</v>
      </c>
      <c r="C28" s="228"/>
      <c r="D28" s="214">
        <f t="shared" ref="D28:H28" si="6">SUM(D24:D27)</f>
        <v>118990282.95</v>
      </c>
      <c r="E28" s="214">
        <f t="shared" si="6"/>
        <v>126527908.42</v>
      </c>
      <c r="F28" s="232">
        <f t="shared" si="6"/>
        <v>109962840.13999999</v>
      </c>
      <c r="G28" s="214">
        <f t="shared" si="6"/>
        <v>104099028.8</v>
      </c>
      <c r="H28" s="232">
        <f t="shared" si="6"/>
        <v>147395312.69</v>
      </c>
      <c r="J28" s="218">
        <f t="shared" si="3"/>
        <v>-14891254.150000006</v>
      </c>
      <c r="K28" s="218">
        <f t="shared" si="0"/>
        <v>20867404.269999996</v>
      </c>
      <c r="L28" s="218" t="e">
        <f>#REF!-F28</f>
        <v>#REF!</v>
      </c>
    </row>
    <row r="29" spans="2:14">
      <c r="B29" s="198" t="s">
        <v>227</v>
      </c>
      <c r="C29" s="409"/>
      <c r="D29" s="235">
        <f t="shared" ref="D29:H29" si="7">+D22-D28</f>
        <v>154688217.76000005</v>
      </c>
      <c r="E29" s="235">
        <f t="shared" si="7"/>
        <v>147150592.29000002</v>
      </c>
      <c r="F29" s="236">
        <f t="shared" si="7"/>
        <v>131480906.33000004</v>
      </c>
      <c r="G29" s="235">
        <f t="shared" si="7"/>
        <v>123978864.99605002</v>
      </c>
      <c r="H29" s="236">
        <f t="shared" si="7"/>
        <v>190040397.48999995</v>
      </c>
      <c r="J29" s="218">
        <f t="shared" si="3"/>
        <v>-30709352.763950035</v>
      </c>
      <c r="K29" s="218">
        <f t="shared" si="0"/>
        <v>42889805.199999928</v>
      </c>
      <c r="L29" s="218" t="e">
        <f>#REF!-F29</f>
        <v>#REF!</v>
      </c>
      <c r="M29" s="218">
        <f>G29*30/100</f>
        <v>37193659.498815</v>
      </c>
      <c r="N29" s="218">
        <f>G29-'[3]P&amp;L'!$C$20</f>
        <v>0</v>
      </c>
    </row>
    <row r="30" spans="2:14">
      <c r="B30" s="407"/>
      <c r="C30" s="228"/>
      <c r="D30" s="222"/>
      <c r="E30" s="222"/>
      <c r="F30" s="231"/>
      <c r="G30" s="239"/>
      <c r="H30" s="303"/>
      <c r="J30" s="218">
        <f t="shared" si="3"/>
        <v>0</v>
      </c>
      <c r="K30" s="218">
        <f t="shared" si="0"/>
        <v>0</v>
      </c>
      <c r="L30" s="218" t="e">
        <f>#REF!-F30</f>
        <v>#REF!</v>
      </c>
    </row>
    <row r="31" spans="2:14">
      <c r="B31" s="195" t="s">
        <v>410</v>
      </c>
      <c r="C31" s="228" t="s">
        <v>489</v>
      </c>
      <c r="D31" s="222">
        <f>'NOTES '!D56-'NOTES '!D54</f>
        <v>52691268.958000019</v>
      </c>
      <c r="E31" s="222">
        <f>'NOTES '!E56-'NOTES '!E54</f>
        <v>50429981.317000009</v>
      </c>
      <c r="F31" s="231">
        <f>'NOTES '!F56-'NOTES '!F54</f>
        <v>47976408.61500001</v>
      </c>
      <c r="G31" s="222">
        <f>'Other Notes Final'!C85</f>
        <v>37193659.498815015</v>
      </c>
      <c r="H31" s="231">
        <f>'Other Notes Final'!D85</f>
        <v>61073257.534999982</v>
      </c>
      <c r="J31" s="218">
        <f t="shared" si="3"/>
        <v>-15497609.459185004</v>
      </c>
      <c r="K31" s="218">
        <f t="shared" si="0"/>
        <v>10643276.217999972</v>
      </c>
      <c r="L31" s="218" t="e">
        <f>#REF!-F31</f>
        <v>#REF!</v>
      </c>
    </row>
    <row r="32" spans="2:14">
      <c r="B32" s="195" t="s">
        <v>411</v>
      </c>
      <c r="C32" s="228" t="s">
        <v>490</v>
      </c>
      <c r="D32" s="222">
        <f>+'NOTES '!D54</f>
        <v>-2120107</v>
      </c>
      <c r="E32" s="222">
        <f>+'NOTES '!E54</f>
        <v>-15853</v>
      </c>
      <c r="F32" s="231">
        <v>0</v>
      </c>
      <c r="G32" s="222">
        <f>+'Other Notes Final'!C87</f>
        <v>0</v>
      </c>
      <c r="H32" s="231">
        <f>-'Other Notes Final'!D87</f>
        <v>-15583</v>
      </c>
      <c r="J32" s="218">
        <f t="shared" si="3"/>
        <v>2120107</v>
      </c>
      <c r="K32" s="218">
        <f t="shared" si="0"/>
        <v>270</v>
      </c>
      <c r="L32" s="218" t="e">
        <f>#REF!-F32</f>
        <v>#REF!</v>
      </c>
    </row>
    <row r="33" spans="2:13">
      <c r="B33" s="198" t="s">
        <v>228</v>
      </c>
      <c r="C33" s="228"/>
      <c r="D33" s="217">
        <f>+D29-D31-D32</f>
        <v>104117055.80200003</v>
      </c>
      <c r="E33" s="217">
        <f t="shared" ref="E33:H33" si="8">+E29-E31-E32</f>
        <v>96736463.97300002</v>
      </c>
      <c r="F33" s="237">
        <f t="shared" si="8"/>
        <v>83504497.715000033</v>
      </c>
      <c r="G33" s="444">
        <f>+G29-G31-G32</f>
        <v>86785205.497235</v>
      </c>
      <c r="H33" s="232">
        <f t="shared" si="8"/>
        <v>128982722.95499997</v>
      </c>
      <c r="J33" s="218">
        <f t="shared" si="3"/>
        <v>-17331850.304765031</v>
      </c>
      <c r="K33" s="218">
        <f t="shared" si="0"/>
        <v>32246258.981999949</v>
      </c>
      <c r="L33" s="218" t="e">
        <f>#REF!-F33</f>
        <v>#REF!</v>
      </c>
    </row>
    <row r="34" spans="2:13">
      <c r="B34" s="195"/>
      <c r="C34" s="228"/>
      <c r="D34" s="222"/>
      <c r="E34" s="222"/>
      <c r="F34" s="231"/>
      <c r="G34" s="239"/>
      <c r="H34" s="303"/>
      <c r="J34" s="218">
        <f t="shared" si="3"/>
        <v>0</v>
      </c>
      <c r="K34" s="218">
        <f t="shared" si="0"/>
        <v>0</v>
      </c>
      <c r="L34" s="218" t="e">
        <f>#REF!-F34</f>
        <v>#REF!</v>
      </c>
    </row>
    <row r="35" spans="2:13">
      <c r="B35" s="198" t="s">
        <v>229</v>
      </c>
      <c r="C35" s="228"/>
      <c r="D35" s="222"/>
      <c r="E35" s="222"/>
      <c r="F35" s="231"/>
      <c r="G35" s="239"/>
      <c r="H35" s="303"/>
      <c r="J35" s="218">
        <f t="shared" si="3"/>
        <v>0</v>
      </c>
      <c r="K35" s="218">
        <f t="shared" si="0"/>
        <v>0</v>
      </c>
      <c r="L35" s="218" t="e">
        <f>#REF!-F35</f>
        <v>#REF!</v>
      </c>
    </row>
    <row r="36" spans="2:13">
      <c r="B36" s="195" t="s">
        <v>230</v>
      </c>
      <c r="C36" s="228"/>
      <c r="D36" s="216">
        <v>0</v>
      </c>
      <c r="E36" s="216">
        <v>0</v>
      </c>
      <c r="F36" s="234">
        <v>0</v>
      </c>
      <c r="G36" s="216"/>
      <c r="H36" s="234">
        <v>0</v>
      </c>
      <c r="J36" s="218">
        <f t="shared" si="3"/>
        <v>0</v>
      </c>
      <c r="K36" s="218">
        <f t="shared" si="0"/>
        <v>0</v>
      </c>
      <c r="L36" s="218" t="e">
        <f>#REF!-F36</f>
        <v>#REF!</v>
      </c>
    </row>
    <row r="37" spans="2:13">
      <c r="B37" s="407"/>
      <c r="C37" s="228"/>
      <c r="D37" s="222"/>
      <c r="E37" s="222"/>
      <c r="F37" s="231"/>
      <c r="G37" s="239"/>
      <c r="H37" s="303"/>
      <c r="J37" s="218">
        <f t="shared" si="3"/>
        <v>0</v>
      </c>
      <c r="K37" s="218">
        <f t="shared" si="0"/>
        <v>0</v>
      </c>
      <c r="L37" s="218" t="e">
        <f>#REF!-F37</f>
        <v>#REF!</v>
      </c>
    </row>
    <row r="38" spans="2:13">
      <c r="B38" s="407"/>
      <c r="C38" s="228"/>
      <c r="D38" s="222"/>
      <c r="E38" s="222"/>
      <c r="F38" s="231"/>
      <c r="G38" s="239"/>
      <c r="H38" s="303"/>
      <c r="J38" s="218">
        <f t="shared" si="3"/>
        <v>0</v>
      </c>
      <c r="K38" s="218">
        <f t="shared" si="0"/>
        <v>0</v>
      </c>
      <c r="L38" s="218" t="e">
        <f>#REF!-F38</f>
        <v>#REF!</v>
      </c>
    </row>
    <row r="39" spans="2:13" ht="13.5" thickBot="1">
      <c r="B39" s="198" t="s">
        <v>231</v>
      </c>
      <c r="C39" s="228"/>
      <c r="D39" s="219">
        <f t="shared" ref="D39:H39" si="9">+D33+D36</f>
        <v>104117055.80200003</v>
      </c>
      <c r="E39" s="219">
        <f t="shared" si="9"/>
        <v>96736463.97300002</v>
      </c>
      <c r="F39" s="238">
        <f t="shared" si="9"/>
        <v>83504497.715000033</v>
      </c>
      <c r="G39" s="445">
        <f>+G33+G36</f>
        <v>86785205.497235</v>
      </c>
      <c r="H39" s="446">
        <f t="shared" si="9"/>
        <v>128982722.95499997</v>
      </c>
      <c r="J39" s="218">
        <f t="shared" si="3"/>
        <v>-17331850.304765031</v>
      </c>
      <c r="K39" s="218">
        <f t="shared" si="0"/>
        <v>32246258.981999949</v>
      </c>
      <c r="L39" s="218" t="e">
        <f>#REF!-F39</f>
        <v>#REF!</v>
      </c>
      <c r="M39" s="218"/>
    </row>
    <row r="40" spans="2:13" ht="13.5" thickTop="1">
      <c r="B40" s="195"/>
      <c r="C40" s="228"/>
      <c r="D40" s="222"/>
      <c r="E40" s="222"/>
      <c r="F40" s="231"/>
      <c r="G40" s="239"/>
      <c r="H40" s="303"/>
      <c r="J40" s="218">
        <f t="shared" si="3"/>
        <v>0</v>
      </c>
      <c r="K40" s="218">
        <f t="shared" si="0"/>
        <v>0</v>
      </c>
      <c r="L40" s="218" t="e">
        <f>#REF!-F40</f>
        <v>#REF!</v>
      </c>
    </row>
    <row r="41" spans="2:13">
      <c r="B41" s="198" t="s">
        <v>232</v>
      </c>
      <c r="C41" s="228"/>
      <c r="D41" s="222"/>
      <c r="E41" s="222"/>
      <c r="F41" s="231"/>
      <c r="G41" s="239"/>
      <c r="H41" s="303"/>
      <c r="J41" s="218">
        <f t="shared" si="3"/>
        <v>0</v>
      </c>
      <c r="K41" s="218">
        <f t="shared" si="0"/>
        <v>0</v>
      </c>
      <c r="L41" s="218" t="e">
        <f>#REF!-F41</f>
        <v>#REF!</v>
      </c>
    </row>
    <row r="42" spans="2:13">
      <c r="B42" s="195" t="s">
        <v>233</v>
      </c>
      <c r="C42" s="228"/>
      <c r="D42" s="239"/>
      <c r="E42" s="239"/>
      <c r="F42" s="231"/>
      <c r="G42" s="239"/>
      <c r="H42" s="303"/>
      <c r="J42" s="218">
        <f t="shared" si="3"/>
        <v>0</v>
      </c>
      <c r="K42" s="218">
        <f t="shared" si="0"/>
        <v>0</v>
      </c>
      <c r="L42" s="218" t="e">
        <f>#REF!-F42</f>
        <v>#REF!</v>
      </c>
    </row>
    <row r="43" spans="2:13">
      <c r="B43" s="195" t="s">
        <v>228</v>
      </c>
      <c r="C43" s="228"/>
      <c r="D43" s="222">
        <f t="shared" ref="D43:H43" si="10">D39</f>
        <v>104117055.80200003</v>
      </c>
      <c r="E43" s="222">
        <f t="shared" si="10"/>
        <v>96736463.97300002</v>
      </c>
      <c r="F43" s="231">
        <f t="shared" si="10"/>
        <v>83504497.715000033</v>
      </c>
      <c r="G43" s="222">
        <f t="shared" si="10"/>
        <v>86785205.497235</v>
      </c>
      <c r="H43" s="231">
        <f t="shared" si="10"/>
        <v>128982722.95499997</v>
      </c>
      <c r="J43" s="218">
        <f t="shared" si="3"/>
        <v>-17331850.304765031</v>
      </c>
      <c r="K43" s="218">
        <f t="shared" si="0"/>
        <v>32246258.981999949</v>
      </c>
      <c r="L43" s="218" t="e">
        <f>#REF!-F43</f>
        <v>#REF!</v>
      </c>
    </row>
    <row r="44" spans="2:13">
      <c r="B44" s="195" t="s">
        <v>234</v>
      </c>
      <c r="C44" s="228"/>
      <c r="D44" s="216"/>
      <c r="E44" s="216"/>
      <c r="F44" s="234"/>
      <c r="G44" s="222">
        <v>0</v>
      </c>
      <c r="H44" s="231">
        <v>0</v>
      </c>
      <c r="J44" s="218">
        <f t="shared" si="3"/>
        <v>0</v>
      </c>
      <c r="K44" s="218">
        <f t="shared" si="0"/>
        <v>0</v>
      </c>
      <c r="L44" s="218" t="e">
        <f>#REF!-F44</f>
        <v>#REF!</v>
      </c>
    </row>
    <row r="45" spans="2:13">
      <c r="B45" s="195" t="s">
        <v>235</v>
      </c>
      <c r="C45" s="228"/>
      <c r="D45" s="222">
        <f>+D43</f>
        <v>104117055.80200003</v>
      </c>
      <c r="E45" s="222">
        <f t="shared" ref="E45:H45" si="11">+E43</f>
        <v>96736463.97300002</v>
      </c>
      <c r="F45" s="231">
        <f t="shared" si="11"/>
        <v>83504497.715000033</v>
      </c>
      <c r="G45" s="222">
        <f>+G43</f>
        <v>86785205.497235</v>
      </c>
      <c r="H45" s="231">
        <f t="shared" si="11"/>
        <v>128982722.95499997</v>
      </c>
      <c r="J45" s="218">
        <f t="shared" si="3"/>
        <v>-17331850.304765031</v>
      </c>
      <c r="K45" s="218">
        <f t="shared" si="0"/>
        <v>32246258.981999949</v>
      </c>
      <c r="L45" s="218" t="e">
        <f>#REF!-F45</f>
        <v>#REF!</v>
      </c>
    </row>
    <row r="46" spans="2:13">
      <c r="B46" s="195"/>
      <c r="C46" s="228"/>
      <c r="D46" s="222"/>
      <c r="E46" s="222"/>
      <c r="F46" s="231"/>
      <c r="G46" s="239"/>
      <c r="H46" s="303"/>
      <c r="J46" s="218">
        <f t="shared" si="3"/>
        <v>0</v>
      </c>
      <c r="K46" s="218">
        <f t="shared" si="0"/>
        <v>0</v>
      </c>
      <c r="L46" s="218" t="e">
        <f>#REF!-F46</f>
        <v>#REF!</v>
      </c>
    </row>
    <row r="47" spans="2:13">
      <c r="B47" s="198" t="s">
        <v>236</v>
      </c>
      <c r="C47" s="228"/>
      <c r="D47" s="222"/>
      <c r="E47" s="222"/>
      <c r="F47" s="231"/>
      <c r="G47" s="239"/>
      <c r="H47" s="303"/>
    </row>
    <row r="48" spans="2:13">
      <c r="B48" s="195" t="s">
        <v>228</v>
      </c>
      <c r="C48" s="228"/>
      <c r="D48" s="222"/>
      <c r="E48" s="222"/>
      <c r="F48" s="231"/>
      <c r="G48" s="222">
        <v>0</v>
      </c>
      <c r="H48" s="231">
        <v>0</v>
      </c>
    </row>
    <row r="49" spans="2:9">
      <c r="B49" s="195" t="s">
        <v>234</v>
      </c>
      <c r="C49" s="228"/>
      <c r="D49" s="216"/>
      <c r="E49" s="216"/>
      <c r="F49" s="234"/>
      <c r="G49" s="222">
        <v>0</v>
      </c>
      <c r="H49" s="231">
        <v>0</v>
      </c>
    </row>
    <row r="50" spans="2:9">
      <c r="B50" s="195" t="s">
        <v>237</v>
      </c>
      <c r="C50" s="228"/>
      <c r="D50" s="220"/>
      <c r="E50" s="220"/>
      <c r="F50" s="240"/>
      <c r="G50" s="220">
        <v>0</v>
      </c>
      <c r="H50" s="240">
        <v>0</v>
      </c>
    </row>
    <row r="51" spans="2:9" ht="13.5" thickBot="1">
      <c r="B51" s="195"/>
      <c r="C51" s="228"/>
      <c r="D51" s="219">
        <f t="shared" ref="D51:H51" si="12">+D45+D50</f>
        <v>104117055.80200003</v>
      </c>
      <c r="E51" s="219">
        <f t="shared" si="12"/>
        <v>96736463.97300002</v>
      </c>
      <c r="F51" s="238">
        <f t="shared" si="12"/>
        <v>83504497.715000033</v>
      </c>
      <c r="G51" s="219">
        <f t="shared" si="12"/>
        <v>86785205.497235</v>
      </c>
      <c r="H51" s="238">
        <f t="shared" si="12"/>
        <v>128982722.95499997</v>
      </c>
    </row>
    <row r="52" spans="2:9" ht="13.5" thickTop="1">
      <c r="B52" s="195"/>
      <c r="C52" s="228"/>
      <c r="D52" s="235"/>
      <c r="E52" s="235"/>
      <c r="F52" s="236"/>
      <c r="G52" s="239"/>
      <c r="H52" s="303"/>
    </row>
    <row r="53" spans="2:9">
      <c r="B53" s="198" t="s">
        <v>238</v>
      </c>
      <c r="C53" s="228">
        <v>23</v>
      </c>
      <c r="D53" s="222"/>
      <c r="E53" s="222"/>
      <c r="F53" s="231"/>
      <c r="G53" s="239"/>
      <c r="H53" s="303"/>
    </row>
    <row r="54" spans="2:9">
      <c r="B54" s="195" t="s">
        <v>239</v>
      </c>
      <c r="C54" s="228"/>
      <c r="D54" s="222">
        <f>D51/44971230</f>
        <v>2.3151925309136536</v>
      </c>
      <c r="E54" s="222">
        <f>E51/4497123</f>
        <v>21.510744530002853</v>
      </c>
      <c r="F54" s="231">
        <f>F51/4497123</f>
        <v>18.568426461762339</v>
      </c>
      <c r="G54" s="222">
        <f>G51/44971230</f>
        <v>1.9297939037298957</v>
      </c>
      <c r="H54" s="231">
        <f>H51/44971230</f>
        <v>2.86811641476117</v>
      </c>
    </row>
    <row r="55" spans="2:9">
      <c r="B55" s="195" t="s">
        <v>240</v>
      </c>
      <c r="C55" s="228"/>
      <c r="D55" s="222">
        <f>D54</f>
        <v>2.3151925309136536</v>
      </c>
      <c r="E55" s="222">
        <f t="shared" ref="E55:F57" si="13">E54</f>
        <v>21.510744530002853</v>
      </c>
      <c r="F55" s="231">
        <f t="shared" si="13"/>
        <v>18.568426461762339</v>
      </c>
      <c r="G55" s="222">
        <f>G54</f>
        <v>1.9297939037298957</v>
      </c>
      <c r="H55" s="231">
        <f t="shared" ref="H55" si="14">H54</f>
        <v>2.86811641476117</v>
      </c>
    </row>
    <row r="56" spans="2:9">
      <c r="B56" s="195" t="s">
        <v>241</v>
      </c>
      <c r="C56" s="228"/>
      <c r="D56" s="222">
        <f>D55</f>
        <v>2.3151925309136536</v>
      </c>
      <c r="E56" s="222">
        <f t="shared" si="13"/>
        <v>21.510744530002853</v>
      </c>
      <c r="F56" s="231">
        <f t="shared" si="13"/>
        <v>18.568426461762339</v>
      </c>
      <c r="G56" s="222">
        <f>G55</f>
        <v>1.9297939037298957</v>
      </c>
      <c r="H56" s="231">
        <f t="shared" ref="H56" si="15">H55</f>
        <v>2.86811641476117</v>
      </c>
    </row>
    <row r="57" spans="2:9">
      <c r="B57" s="195" t="s">
        <v>242</v>
      </c>
      <c r="C57" s="228"/>
      <c r="D57" s="222">
        <f>D56</f>
        <v>2.3151925309136536</v>
      </c>
      <c r="E57" s="222">
        <f t="shared" si="13"/>
        <v>21.510744530002853</v>
      </c>
      <c r="F57" s="231">
        <f t="shared" si="13"/>
        <v>18.568426461762339</v>
      </c>
      <c r="G57" s="222">
        <f>G56</f>
        <v>1.9297939037298957</v>
      </c>
      <c r="H57" s="231">
        <f t="shared" ref="H57" si="16">H56</f>
        <v>2.86811641476117</v>
      </c>
    </row>
    <row r="58" spans="2:9" ht="13.5" thickBot="1">
      <c r="B58" s="199"/>
      <c r="C58" s="192"/>
      <c r="D58" s="242"/>
      <c r="E58" s="242"/>
      <c r="F58" s="243"/>
      <c r="G58" s="282"/>
      <c r="H58" s="305"/>
      <c r="I58" s="167"/>
    </row>
    <row r="59" spans="2:9">
      <c r="B59" s="167" t="s">
        <v>17</v>
      </c>
      <c r="C59" s="168"/>
      <c r="D59" s="167"/>
      <c r="E59" s="167"/>
      <c r="F59" s="167"/>
      <c r="H59" s="167"/>
      <c r="I59" s="167"/>
    </row>
    <row r="60" spans="2:9">
      <c r="B60" s="167" t="s">
        <v>135</v>
      </c>
      <c r="C60" s="168"/>
      <c r="D60" s="167"/>
      <c r="E60" s="167"/>
      <c r="F60" s="171"/>
      <c r="G60" s="167" t="s">
        <v>537</v>
      </c>
      <c r="H60" s="170"/>
      <c r="I60" s="167"/>
    </row>
    <row r="61" spans="2:9">
      <c r="B61" s="167" t="s">
        <v>538</v>
      </c>
      <c r="C61" s="168"/>
      <c r="D61" s="167"/>
      <c r="E61" s="167"/>
      <c r="F61" s="167"/>
      <c r="G61" s="170"/>
      <c r="H61" s="167"/>
      <c r="I61" s="170"/>
    </row>
    <row r="62" spans="2:9">
      <c r="B62" s="167"/>
      <c r="C62" s="168"/>
      <c r="D62" s="167"/>
      <c r="E62" s="167"/>
      <c r="F62" s="167"/>
      <c r="G62" s="170"/>
      <c r="H62" s="167"/>
      <c r="I62" s="170"/>
    </row>
    <row r="63" spans="2:9">
      <c r="B63" s="167"/>
      <c r="D63" s="170" t="s">
        <v>495</v>
      </c>
      <c r="E63" s="170" t="s">
        <v>496</v>
      </c>
      <c r="F63" s="167"/>
      <c r="I63" s="167"/>
    </row>
    <row r="64" spans="2:9">
      <c r="B64" s="167" t="s">
        <v>494</v>
      </c>
      <c r="C64" s="167" t="s">
        <v>497</v>
      </c>
      <c r="D64" s="167"/>
      <c r="E64" s="167"/>
      <c r="F64" s="167"/>
      <c r="G64" s="375" t="s">
        <v>495</v>
      </c>
      <c r="H64" s="376" t="s">
        <v>530</v>
      </c>
    </row>
    <row r="65" spans="2:9">
      <c r="B65" s="167" t="s">
        <v>539</v>
      </c>
      <c r="C65" s="168"/>
      <c r="D65" s="167"/>
      <c r="E65" s="167"/>
      <c r="F65" s="167"/>
      <c r="G65" s="167"/>
      <c r="I65" s="167"/>
    </row>
    <row r="66" spans="2:9">
      <c r="B66" s="167"/>
      <c r="C66" s="168"/>
      <c r="D66" s="167"/>
      <c r="E66" s="167"/>
      <c r="F66" s="167"/>
      <c r="G66" s="167"/>
      <c r="H66" s="167"/>
      <c r="I66" s="167"/>
    </row>
    <row r="67" spans="2:9">
      <c r="B67" s="167"/>
      <c r="C67" s="168"/>
      <c r="D67" s="167"/>
      <c r="E67" s="167"/>
      <c r="F67" s="167"/>
      <c r="G67" s="167"/>
      <c r="H67" s="167"/>
      <c r="I67" s="167"/>
    </row>
    <row r="68" spans="2:9">
      <c r="B68" s="167"/>
      <c r="C68" s="168"/>
      <c r="D68" s="167"/>
      <c r="E68" s="167"/>
      <c r="F68" s="167"/>
      <c r="G68" s="167"/>
      <c r="H68" s="167"/>
    </row>
    <row r="69" spans="2:9">
      <c r="B69" s="167"/>
      <c r="C69" s="168"/>
      <c r="D69" s="167"/>
      <c r="E69" s="167"/>
      <c r="F69" s="167"/>
      <c r="G69" s="167"/>
      <c r="H69" s="167"/>
    </row>
    <row r="70" spans="2:9">
      <c r="B70" s="167"/>
      <c r="C70" s="168"/>
      <c r="D70" s="167"/>
      <c r="E70" s="167"/>
      <c r="F70" s="167"/>
      <c r="G70" s="167"/>
      <c r="H70" s="167"/>
    </row>
    <row r="71" spans="2:9">
      <c r="B71" s="167"/>
      <c r="C71" s="168"/>
      <c r="D71" s="167"/>
      <c r="E71" s="167"/>
      <c r="F71" s="167"/>
      <c r="G71" s="167"/>
      <c r="H71" s="167"/>
    </row>
    <row r="72" spans="2:9">
      <c r="D72" s="213"/>
      <c r="E72" s="213"/>
    </row>
    <row r="73" spans="2:9">
      <c r="D73" s="213"/>
      <c r="E73" s="213"/>
    </row>
  </sheetData>
  <customSheetViews>
    <customSheetView guid="{72AECFDF-D723-4070-8275-F05FB2F264F1}" topLeftCell="A25">
      <selection activeCell="D56" sqref="D56"/>
      <pageMargins left="0.7" right="0.7" top="0.75" bottom="0.75" header="0.3" footer="0.3"/>
      <pageSetup orientation="portrait" r:id="rId1"/>
    </customSheetView>
    <customSheetView guid="{9A88D99D-9CFD-4D2A-BD86-16F4695A8B22}">
      <selection activeCell="H2" sqref="H2:I2"/>
      <pageMargins left="0.7" right="0.7" top="0.75" bottom="0.75" header="0.3" footer="0.3"/>
      <pageSetup orientation="portrait" r:id="rId2"/>
    </customSheetView>
  </customSheetViews>
  <mergeCells count="7">
    <mergeCell ref="B1:H1"/>
    <mergeCell ref="D5:F5"/>
    <mergeCell ref="D6:F6"/>
    <mergeCell ref="B2:H2"/>
    <mergeCell ref="B3:H3"/>
    <mergeCell ref="G5:H5"/>
    <mergeCell ref="G6:H6"/>
  </mergeCells>
  <pageMargins left="0.7" right="0.33" top="0.3" bottom="0.22" header="0.3" footer="0.3"/>
  <pageSetup scale="81" orientation="portrait" r:id="rId3"/>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3"/>
  <sheetViews>
    <sheetView topLeftCell="A18" workbookViewId="0">
      <selection activeCell="B30" sqref="B30:H30"/>
    </sheetView>
  </sheetViews>
  <sheetFormatPr defaultColWidth="9.140625" defaultRowHeight="12.75"/>
  <cols>
    <col min="1" max="1" width="9.140625" style="186"/>
    <col min="2" max="2" width="49" style="186" customWidth="1"/>
    <col min="3" max="3" width="21.5703125" style="187" bestFit="1" customWidth="1"/>
    <col min="4" max="4" width="19.140625" style="187" bestFit="1" customWidth="1"/>
    <col min="5" max="5" width="20.42578125" style="187" bestFit="1" customWidth="1"/>
    <col min="6" max="6" width="19.28515625" style="187" bestFit="1" customWidth="1"/>
    <col min="7" max="7" width="18.42578125" style="187" bestFit="1" customWidth="1"/>
    <col min="8" max="8" width="20.85546875" style="187" bestFit="1" customWidth="1"/>
    <col min="9" max="9" width="15" style="186" hidden="1" customWidth="1"/>
    <col min="10" max="10" width="11.5703125" style="186" hidden="1" customWidth="1"/>
    <col min="11" max="11" width="0" style="186" hidden="1" customWidth="1"/>
    <col min="12" max="16384" width="9.140625" style="186"/>
  </cols>
  <sheetData>
    <row r="1" spans="2:10" ht="13.5" thickBot="1">
      <c r="B1" s="609"/>
      <c r="C1" s="609"/>
      <c r="D1" s="609"/>
      <c r="E1" s="609"/>
      <c r="F1" s="609"/>
      <c r="G1" s="609"/>
      <c r="H1" s="609"/>
    </row>
    <row r="2" spans="2:10" ht="15.75">
      <c r="B2" s="584" t="s">
        <v>491</v>
      </c>
      <c r="C2" s="585"/>
      <c r="D2" s="585"/>
      <c r="E2" s="585"/>
      <c r="F2" s="585"/>
      <c r="G2" s="585"/>
      <c r="H2" s="606"/>
    </row>
    <row r="3" spans="2:10" ht="13.15" customHeight="1">
      <c r="B3" s="587" t="s">
        <v>414</v>
      </c>
      <c r="C3" s="588"/>
      <c r="D3" s="588"/>
      <c r="E3" s="588"/>
      <c r="F3" s="588"/>
      <c r="G3" s="588"/>
      <c r="H3" s="616"/>
    </row>
    <row r="4" spans="2:10" ht="32.25" customHeight="1" thickBot="1">
      <c r="B4" s="617"/>
      <c r="C4" s="618"/>
      <c r="D4" s="618"/>
      <c r="E4" s="618"/>
      <c r="F4" s="618"/>
      <c r="G4" s="618"/>
      <c r="H4" s="619"/>
    </row>
    <row r="5" spans="2:10" ht="13.5" thickBot="1">
      <c r="B5" s="195"/>
      <c r="C5" s="193"/>
      <c r="D5" s="193"/>
      <c r="E5" s="193"/>
      <c r="F5" s="193"/>
      <c r="G5" s="193"/>
      <c r="H5" s="194"/>
    </row>
    <row r="6" spans="2:10" ht="26.25" thickBot="1">
      <c r="B6" s="195"/>
      <c r="C6" s="327" t="s">
        <v>348</v>
      </c>
      <c r="D6" s="328" t="s">
        <v>98</v>
      </c>
      <c r="E6" s="328" t="s">
        <v>349</v>
      </c>
      <c r="F6" s="328" t="s">
        <v>332</v>
      </c>
      <c r="G6" s="328" t="s">
        <v>350</v>
      </c>
      <c r="H6" s="329" t="s">
        <v>351</v>
      </c>
    </row>
    <row r="7" spans="2:10">
      <c r="B7" s="195"/>
      <c r="C7" s="196"/>
      <c r="D7" s="196"/>
      <c r="E7" s="196"/>
      <c r="F7" s="196"/>
      <c r="G7" s="196"/>
      <c r="H7" s="197"/>
    </row>
    <row r="8" spans="2:10" ht="17.25" customHeight="1">
      <c r="B8" s="200" t="s">
        <v>563</v>
      </c>
      <c r="C8" s="206">
        <v>450000000</v>
      </c>
      <c r="D8" s="207">
        <v>28150800</v>
      </c>
      <c r="E8" s="207">
        <v>239452333.14999998</v>
      </c>
      <c r="F8" s="207">
        <v>106277015.26000002</v>
      </c>
      <c r="G8" s="207">
        <v>5785832.7699999996</v>
      </c>
      <c r="H8" s="208">
        <f t="shared" ref="H8:H15" si="0">SUM(C8:G8)</f>
        <v>829665981.17999995</v>
      </c>
    </row>
    <row r="9" spans="2:10" ht="17.25" customHeight="1">
      <c r="B9" s="195" t="s">
        <v>323</v>
      </c>
      <c r="C9" s="196">
        <v>0</v>
      </c>
      <c r="D9" s="196">
        <v>0</v>
      </c>
      <c r="E9" s="196">
        <v>0</v>
      </c>
      <c r="F9" s="196">
        <v>0</v>
      </c>
      <c r="G9" s="196">
        <v>0</v>
      </c>
      <c r="H9" s="197">
        <f t="shared" si="0"/>
        <v>0</v>
      </c>
    </row>
    <row r="10" spans="2:10" ht="17.25" customHeight="1">
      <c r="B10" s="195" t="s">
        <v>153</v>
      </c>
      <c r="C10" s="447">
        <v>0</v>
      </c>
      <c r="D10" s="196">
        <v>0</v>
      </c>
      <c r="E10" s="196">
        <v>0</v>
      </c>
      <c r="F10" s="196">
        <v>0</v>
      </c>
      <c r="G10" s="196">
        <v>0</v>
      </c>
      <c r="H10" s="197">
        <f t="shared" si="0"/>
        <v>0</v>
      </c>
    </row>
    <row r="11" spans="2:10" ht="17.25" customHeight="1">
      <c r="B11" s="195" t="s">
        <v>324</v>
      </c>
      <c r="C11" s="196">
        <v>0</v>
      </c>
      <c r="D11" s="196">
        <v>0</v>
      </c>
      <c r="E11" s="196">
        <v>0</v>
      </c>
      <c r="F11" s="196">
        <v>0</v>
      </c>
      <c r="G11" s="196">
        <v>0</v>
      </c>
      <c r="H11" s="197">
        <f t="shared" si="0"/>
        <v>0</v>
      </c>
    </row>
    <row r="12" spans="2:10">
      <c r="B12" s="195" t="s">
        <v>513</v>
      </c>
      <c r="C12" s="196">
        <v>0</v>
      </c>
      <c r="D12" s="196">
        <v>0</v>
      </c>
      <c r="E12" s="196">
        <v>0</v>
      </c>
      <c r="F12" s="196">
        <v>0</v>
      </c>
      <c r="G12" s="196">
        <v>0</v>
      </c>
      <c r="H12" s="197">
        <f t="shared" si="0"/>
        <v>0</v>
      </c>
    </row>
    <row r="13" spans="2:10">
      <c r="B13" s="195" t="s">
        <v>333</v>
      </c>
      <c r="C13" s="196">
        <v>0</v>
      </c>
      <c r="D13" s="196">
        <v>0</v>
      </c>
      <c r="E13" s="196">
        <v>0</v>
      </c>
      <c r="F13" s="196">
        <v>0</v>
      </c>
      <c r="G13" s="196">
        <v>0</v>
      </c>
      <c r="H13" s="197">
        <f t="shared" si="0"/>
        <v>0</v>
      </c>
    </row>
    <row r="14" spans="2:10">
      <c r="B14" s="195" t="s">
        <v>346</v>
      </c>
      <c r="C14" s="196">
        <v>0</v>
      </c>
      <c r="D14" s="196">
        <v>0</v>
      </c>
      <c r="E14" s="196">
        <v>0</v>
      </c>
      <c r="F14" s="196">
        <v>0</v>
      </c>
      <c r="G14" s="196">
        <v>0</v>
      </c>
      <c r="H14" s="197">
        <f t="shared" si="0"/>
        <v>0</v>
      </c>
    </row>
    <row r="15" spans="2:10" ht="13.5" thickBot="1">
      <c r="B15" s="195" t="s">
        <v>325</v>
      </c>
      <c r="C15" s="196">
        <v>0</v>
      </c>
      <c r="D15" s="196">
        <v>0</v>
      </c>
      <c r="E15" s="196"/>
      <c r="F15" s="196">
        <v>0</v>
      </c>
      <c r="G15" s="196">
        <v>0</v>
      </c>
      <c r="H15" s="197">
        <f t="shared" si="0"/>
        <v>0</v>
      </c>
    </row>
    <row r="16" spans="2:10" ht="13.5" thickBot="1">
      <c r="B16" s="202" t="s">
        <v>576</v>
      </c>
      <c r="C16" s="203">
        <f>SUM(C8:C15)</f>
        <v>450000000</v>
      </c>
      <c r="D16" s="203">
        <f>SUM(D8:D15)</f>
        <v>28150800</v>
      </c>
      <c r="E16" s="203">
        <f>SUM(E8:E15)</f>
        <v>239452333.14999998</v>
      </c>
      <c r="F16" s="203">
        <f t="shared" ref="F16:H16" si="1">SUM(F8:F15)</f>
        <v>106277015.26000002</v>
      </c>
      <c r="G16" s="203">
        <f t="shared" si="1"/>
        <v>5785832.7699999996</v>
      </c>
      <c r="H16" s="204">
        <f t="shared" si="1"/>
        <v>829665981.17999995</v>
      </c>
      <c r="J16" s="190"/>
    </row>
    <row r="17" spans="2:9">
      <c r="B17" s="195"/>
      <c r="C17" s="447"/>
      <c r="D17" s="447"/>
      <c r="E17" s="447"/>
      <c r="F17" s="447"/>
      <c r="G17" s="447"/>
      <c r="H17" s="197"/>
    </row>
    <row r="18" spans="2:9">
      <c r="B18" s="195" t="s">
        <v>323</v>
      </c>
      <c r="C18" s="447">
        <v>0</v>
      </c>
      <c r="D18" s="447">
        <v>0</v>
      </c>
      <c r="E18" s="447">
        <v>0</v>
      </c>
      <c r="F18" s="447">
        <f>'income statement'!G39</f>
        <v>86785205.497235</v>
      </c>
      <c r="G18" s="447">
        <f>-F22</f>
        <v>0</v>
      </c>
      <c r="H18" s="197">
        <f t="shared" ref="H18:H23" si="2">SUM(C18:G18)</f>
        <v>86785205.497235</v>
      </c>
      <c r="I18" s="218"/>
    </row>
    <row r="19" spans="2:9">
      <c r="B19" s="195" t="s">
        <v>153</v>
      </c>
      <c r="C19" s="447">
        <v>0</v>
      </c>
      <c r="D19" s="447">
        <v>0</v>
      </c>
      <c r="E19" s="447">
        <v>0</v>
      </c>
      <c r="F19" s="447"/>
      <c r="G19" s="447"/>
      <c r="H19" s="197">
        <f t="shared" si="2"/>
        <v>0</v>
      </c>
    </row>
    <row r="20" spans="2:9">
      <c r="B20" s="195" t="s">
        <v>324</v>
      </c>
      <c r="C20" s="447">
        <v>0</v>
      </c>
      <c r="D20" s="447">
        <v>0</v>
      </c>
      <c r="E20" s="447">
        <v>0</v>
      </c>
      <c r="F20" s="447">
        <v>0</v>
      </c>
      <c r="G20" s="447">
        <v>0</v>
      </c>
      <c r="H20" s="197">
        <f t="shared" si="2"/>
        <v>0</v>
      </c>
      <c r="I20" s="218">
        <f>I22-I21</f>
        <v>87921875.227235079</v>
      </c>
    </row>
    <row r="21" spans="2:9">
      <c r="B21" s="195" t="s">
        <v>562</v>
      </c>
      <c r="C21" s="447">
        <v>0</v>
      </c>
      <c r="D21" s="447">
        <v>0</v>
      </c>
      <c r="E21" s="447">
        <v>0</v>
      </c>
      <c r="F21" s="447">
        <v>0</v>
      </c>
      <c r="G21" s="447"/>
      <c r="H21" s="197">
        <f t="shared" si="2"/>
        <v>0</v>
      </c>
      <c r="I21" s="218">
        <f>E16+F16+G16</f>
        <v>351515181.17999995</v>
      </c>
    </row>
    <row r="22" spans="2:9">
      <c r="B22" s="195" t="s">
        <v>333</v>
      </c>
      <c r="C22" s="447"/>
      <c r="D22" s="447">
        <v>0</v>
      </c>
      <c r="E22" s="447">
        <v>0</v>
      </c>
      <c r="F22" s="447">
        <v>0</v>
      </c>
      <c r="G22" s="447"/>
      <c r="H22" s="197">
        <f t="shared" si="2"/>
        <v>0</v>
      </c>
      <c r="I22" s="218">
        <f>E24+F24+G24</f>
        <v>439437056.40723503</v>
      </c>
    </row>
    <row r="23" spans="2:9" ht="13.5" thickBot="1">
      <c r="B23" s="195" t="s">
        <v>346</v>
      </c>
      <c r="C23" s="447"/>
      <c r="D23" s="447"/>
      <c r="E23" s="447">
        <f>50%*F18</f>
        <v>43392602.7486175</v>
      </c>
      <c r="F23" s="447">
        <f>-E23</f>
        <v>-43392602.7486175</v>
      </c>
      <c r="G23" s="447"/>
      <c r="H23" s="197">
        <f t="shared" si="2"/>
        <v>0</v>
      </c>
      <c r="I23" s="218">
        <f>E24+F24+G24</f>
        <v>439437056.40723503</v>
      </c>
    </row>
    <row r="24" spans="2:9" ht="13.5" thickBot="1">
      <c r="B24" s="201" t="s">
        <v>575</v>
      </c>
      <c r="C24" s="448">
        <f t="shared" ref="C24:G24" si="3">SUM(C16:C23)</f>
        <v>450000000</v>
      </c>
      <c r="D24" s="448">
        <f t="shared" si="3"/>
        <v>28150800</v>
      </c>
      <c r="E24" s="448">
        <f t="shared" si="3"/>
        <v>282844935.89861751</v>
      </c>
      <c r="F24" s="448">
        <f>SUM(F16:F23)+1136669.73</f>
        <v>150806287.73861751</v>
      </c>
      <c r="G24" s="448">
        <f t="shared" si="3"/>
        <v>5785832.7699999996</v>
      </c>
      <c r="H24" s="205">
        <f>SUM(H16:H23)+1136669.73</f>
        <v>917587856.40723491</v>
      </c>
      <c r="I24" s="218">
        <f>I21-I23</f>
        <v>-87921875.227235079</v>
      </c>
    </row>
    <row r="25" spans="2:9" ht="15.75" customHeight="1" thickBot="1">
      <c r="B25" s="610"/>
      <c r="C25" s="611"/>
      <c r="D25" s="611"/>
      <c r="E25" s="611"/>
      <c r="F25" s="611"/>
      <c r="G25" s="611"/>
      <c r="H25" s="612"/>
    </row>
    <row r="27" spans="2:9" ht="13.5" thickBot="1">
      <c r="E27" s="406"/>
      <c r="F27" s="406"/>
    </row>
    <row r="28" spans="2:9" ht="13.5" thickBot="1">
      <c r="B28" s="355" t="s">
        <v>439</v>
      </c>
      <c r="E28" s="406"/>
    </row>
    <row r="29" spans="2:9" ht="13.5" thickBot="1"/>
    <row r="30" spans="2:9" ht="143.25" customHeight="1" thickBot="1">
      <c r="B30" s="613" t="s">
        <v>526</v>
      </c>
      <c r="C30" s="614"/>
      <c r="D30" s="614"/>
      <c r="E30" s="614"/>
      <c r="F30" s="614"/>
      <c r="G30" s="614"/>
      <c r="H30" s="615"/>
    </row>
    <row r="31" spans="2:9">
      <c r="B31" s="167" t="s">
        <v>17</v>
      </c>
      <c r="D31" s="167"/>
      <c r="E31" s="167"/>
      <c r="F31" s="167"/>
      <c r="H31" s="167"/>
    </row>
    <row r="32" spans="2:9">
      <c r="B32" s="167" t="s">
        <v>135</v>
      </c>
      <c r="C32" s="167" t="s">
        <v>537</v>
      </c>
      <c r="D32" s="167"/>
      <c r="E32" s="167"/>
      <c r="F32" s="171"/>
      <c r="G32" s="167"/>
      <c r="H32" s="170"/>
    </row>
    <row r="33" spans="2:8">
      <c r="B33" s="167" t="s">
        <v>538</v>
      </c>
      <c r="C33" s="168"/>
      <c r="D33" s="167"/>
      <c r="E33" s="167"/>
      <c r="F33" s="167"/>
      <c r="G33" s="170"/>
      <c r="H33" s="167"/>
    </row>
    <row r="34" spans="2:8">
      <c r="B34" s="167"/>
      <c r="C34" s="168"/>
      <c r="D34" s="167"/>
      <c r="E34" s="167"/>
      <c r="F34" s="167"/>
      <c r="G34" s="170"/>
      <c r="H34" s="167"/>
    </row>
    <row r="35" spans="2:8">
      <c r="B35" s="167"/>
      <c r="C35" s="168"/>
      <c r="D35" s="167"/>
      <c r="E35" s="167"/>
      <c r="F35" s="167"/>
      <c r="G35" s="170"/>
      <c r="H35" s="167"/>
    </row>
    <row r="36" spans="2:8">
      <c r="B36" s="167" t="s">
        <v>494</v>
      </c>
      <c r="C36" s="167" t="s">
        <v>497</v>
      </c>
      <c r="D36" s="170" t="s">
        <v>495</v>
      </c>
      <c r="E36" s="170" t="s">
        <v>496</v>
      </c>
      <c r="F36" s="167"/>
      <c r="G36" s="170"/>
      <c r="H36" s="167"/>
    </row>
    <row r="37" spans="2:8">
      <c r="B37" s="167" t="s">
        <v>539</v>
      </c>
      <c r="F37" s="167"/>
      <c r="G37" s="375"/>
      <c r="H37" s="376"/>
    </row>
    <row r="38" spans="2:8">
      <c r="C38" s="168"/>
      <c r="D38" s="167"/>
      <c r="E38" s="167"/>
      <c r="F38" s="167"/>
      <c r="G38" s="167"/>
      <c r="H38" s="167"/>
    </row>
    <row r="39" spans="2:8">
      <c r="C39" s="168"/>
      <c r="D39" s="167"/>
      <c r="E39" s="167"/>
      <c r="F39" s="167"/>
      <c r="G39" s="167"/>
      <c r="H39" s="186"/>
    </row>
    <row r="40" spans="2:8">
      <c r="B40" s="167"/>
      <c r="C40" s="168"/>
      <c r="D40" s="167"/>
      <c r="E40" s="167"/>
      <c r="F40" s="167"/>
      <c r="G40" s="167"/>
    </row>
    <row r="41" spans="2:8">
      <c r="B41" s="167"/>
      <c r="C41" s="168"/>
      <c r="D41" s="167"/>
      <c r="E41" s="167"/>
      <c r="F41" s="167"/>
      <c r="G41" s="167"/>
      <c r="H41" s="167"/>
    </row>
    <row r="42" spans="2:8">
      <c r="B42" s="167"/>
      <c r="C42" s="168"/>
      <c r="D42" s="167"/>
      <c r="E42" s="167"/>
      <c r="F42" s="167"/>
      <c r="G42" s="167"/>
      <c r="H42" s="167"/>
    </row>
    <row r="43" spans="2:8">
      <c r="B43" s="167"/>
      <c r="C43" s="168"/>
      <c r="D43" s="167"/>
      <c r="E43" s="167"/>
      <c r="F43" s="167"/>
      <c r="G43" s="167"/>
      <c r="H43" s="167"/>
    </row>
  </sheetData>
  <customSheetViews>
    <customSheetView guid="{72AECFDF-D723-4070-8275-F05FB2F264F1}" topLeftCell="C1">
      <selection activeCell="D19" sqref="D19:E23"/>
      <pageMargins left="0.7" right="0.7" top="0.75" bottom="0.75" header="0.3" footer="0.3"/>
      <pageSetup orientation="portrait" horizontalDpi="0" verticalDpi="0" r:id="rId1"/>
    </customSheetView>
    <customSheetView guid="{9A88D99D-9CFD-4D2A-BD86-16F4695A8B22}">
      <selection activeCell="C8" sqref="C8"/>
      <pageMargins left="0.7" right="0.7" top="0.75" bottom="0.75" header="0.3" footer="0.3"/>
      <pageSetup orientation="portrait" horizontalDpi="0" verticalDpi="0" r:id="rId2"/>
    </customSheetView>
  </customSheetViews>
  <mergeCells count="5">
    <mergeCell ref="B1:H1"/>
    <mergeCell ref="B25:H25"/>
    <mergeCell ref="B30:H30"/>
    <mergeCell ref="B2:H2"/>
    <mergeCell ref="B3:H4"/>
  </mergeCells>
  <pageMargins left="0.7" right="0.7" top="1.05" bottom="0.59" header="0.3" footer="0.3"/>
  <pageSetup scale="68"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topLeftCell="A5" workbookViewId="0">
      <selection activeCell="E25" sqref="E25"/>
    </sheetView>
  </sheetViews>
  <sheetFormatPr defaultColWidth="9.140625" defaultRowHeight="12.75"/>
  <cols>
    <col min="1" max="1" width="5" style="213" customWidth="1"/>
    <col min="2" max="2" width="51.140625" style="213" bestFit="1" customWidth="1"/>
    <col min="3" max="3" width="7.28515625" style="213" bestFit="1" customWidth="1"/>
    <col min="4" max="5" width="19.42578125" style="213" bestFit="1" customWidth="1"/>
    <col min="6" max="6" width="19" style="213" bestFit="1" customWidth="1"/>
    <col min="7" max="7" width="9.140625" style="213"/>
    <col min="8" max="8" width="14.5703125" style="213" bestFit="1" customWidth="1"/>
    <col min="9" max="16384" width="9.140625" style="213"/>
  </cols>
  <sheetData>
    <row r="1" spans="2:8" ht="13.5" thickBot="1"/>
    <row r="2" spans="2:8" ht="39.75" customHeight="1" thickBot="1">
      <c r="B2" s="623" t="s">
        <v>354</v>
      </c>
      <c r="C2" s="624"/>
      <c r="D2" s="624"/>
      <c r="E2" s="624"/>
      <c r="F2" s="625"/>
      <c r="G2" s="248"/>
      <c r="H2" s="248"/>
    </row>
    <row r="3" spans="2:8" ht="13.5" thickBot="1">
      <c r="B3" s="249"/>
      <c r="C3" s="206"/>
      <c r="D3" s="626" t="s">
        <v>207</v>
      </c>
      <c r="E3" s="627"/>
      <c r="F3" s="628"/>
    </row>
    <row r="4" spans="2:8" ht="13.5" thickBot="1">
      <c r="B4" s="250"/>
      <c r="C4" s="206"/>
      <c r="D4" s="620" t="s">
        <v>329</v>
      </c>
      <c r="E4" s="621"/>
      <c r="F4" s="622"/>
    </row>
    <row r="5" spans="2:8" ht="13.5" thickBot="1">
      <c r="B5" s="251"/>
      <c r="C5" s="206"/>
      <c r="D5" s="244" t="s">
        <v>327</v>
      </c>
      <c r="E5" s="245" t="s">
        <v>326</v>
      </c>
      <c r="F5" s="246" t="s">
        <v>328</v>
      </c>
    </row>
    <row r="6" spans="2:8">
      <c r="B6" s="251"/>
      <c r="C6" s="206" t="s">
        <v>214</v>
      </c>
      <c r="D6" s="230"/>
      <c r="E6" s="230"/>
      <c r="F6" s="231"/>
    </row>
    <row r="7" spans="2:8">
      <c r="B7" s="252" t="s">
        <v>231</v>
      </c>
      <c r="C7" s="191"/>
      <c r="D7" s="222">
        <f>'income statement'!D33</f>
        <v>104117055.80200003</v>
      </c>
      <c r="E7" s="222">
        <f>'income statement'!E33</f>
        <v>96736463.97300002</v>
      </c>
      <c r="F7" s="231">
        <f>'income statement'!F33</f>
        <v>83504497.715000033</v>
      </c>
    </row>
    <row r="8" spans="2:8">
      <c r="B8" s="251"/>
      <c r="C8" s="191"/>
      <c r="D8" s="222"/>
      <c r="E8" s="222"/>
      <c r="F8" s="231"/>
    </row>
    <row r="9" spans="2:8">
      <c r="B9" s="252" t="s">
        <v>247</v>
      </c>
      <c r="C9" s="191"/>
      <c r="D9" s="222"/>
      <c r="E9" s="222"/>
      <c r="F9" s="231"/>
    </row>
    <row r="10" spans="2:8">
      <c r="B10" s="251" t="s">
        <v>248</v>
      </c>
      <c r="C10" s="191"/>
      <c r="D10" s="222"/>
      <c r="E10" s="222"/>
      <c r="F10" s="231"/>
    </row>
    <row r="11" spans="2:8">
      <c r="B11" s="251" t="s">
        <v>249</v>
      </c>
      <c r="C11" s="191"/>
      <c r="D11" s="222">
        <v>7879433.7999999998</v>
      </c>
      <c r="E11" s="222">
        <v>8344065.3300000001</v>
      </c>
      <c r="F11" s="231">
        <v>8239840.3200000003</v>
      </c>
    </row>
    <row r="12" spans="2:8">
      <c r="B12" s="251"/>
      <c r="C12" s="191"/>
      <c r="D12" s="222"/>
      <c r="E12" s="222"/>
      <c r="F12" s="231"/>
    </row>
    <row r="13" spans="2:8">
      <c r="B13" s="252" t="s">
        <v>250</v>
      </c>
      <c r="C13" s="191"/>
      <c r="D13" s="222"/>
      <c r="E13" s="222"/>
      <c r="F13" s="231"/>
    </row>
    <row r="14" spans="2:8">
      <c r="B14" s="251" t="s">
        <v>251</v>
      </c>
      <c r="C14" s="191"/>
      <c r="D14" s="222">
        <v>0</v>
      </c>
      <c r="E14" s="222">
        <v>0</v>
      </c>
      <c r="F14" s="231">
        <v>0</v>
      </c>
    </row>
    <row r="15" spans="2:8">
      <c r="B15" s="251" t="s">
        <v>252</v>
      </c>
      <c r="C15" s="191"/>
      <c r="D15" s="222">
        <v>0</v>
      </c>
      <c r="E15" s="222">
        <v>0</v>
      </c>
      <c r="F15" s="231">
        <v>0</v>
      </c>
    </row>
    <row r="16" spans="2:8">
      <c r="B16" s="251" t="s">
        <v>253</v>
      </c>
      <c r="C16" s="191"/>
      <c r="D16" s="222">
        <v>0</v>
      </c>
      <c r="E16" s="222">
        <v>0</v>
      </c>
      <c r="F16" s="231">
        <v>0</v>
      </c>
    </row>
    <row r="17" spans="2:6">
      <c r="B17" s="251" t="s">
        <v>254</v>
      </c>
      <c r="C17" s="191"/>
      <c r="D17" s="222">
        <v>0</v>
      </c>
      <c r="E17" s="222">
        <v>0</v>
      </c>
      <c r="F17" s="231">
        <v>0</v>
      </c>
    </row>
    <row r="18" spans="2:6">
      <c r="B18" s="251"/>
      <c r="C18" s="191"/>
      <c r="D18" s="222"/>
      <c r="E18" s="222"/>
      <c r="F18" s="231"/>
    </row>
    <row r="19" spans="2:6">
      <c r="B19" s="252" t="s">
        <v>255</v>
      </c>
      <c r="C19" s="191"/>
      <c r="D19" s="222"/>
      <c r="E19" s="222"/>
      <c r="F19" s="231"/>
    </row>
    <row r="20" spans="2:6">
      <c r="B20" s="251" t="s">
        <v>256</v>
      </c>
      <c r="C20" s="191"/>
      <c r="D20" s="222">
        <v>0</v>
      </c>
      <c r="E20" s="222">
        <v>0</v>
      </c>
      <c r="F20" s="231">
        <v>0</v>
      </c>
    </row>
    <row r="21" spans="2:6">
      <c r="B21" s="251" t="s">
        <v>257</v>
      </c>
      <c r="C21" s="191"/>
      <c r="D21" s="222">
        <v>0</v>
      </c>
      <c r="E21" s="222">
        <v>0</v>
      </c>
      <c r="F21" s="231">
        <v>0</v>
      </c>
    </row>
    <row r="22" spans="2:6">
      <c r="B22" s="251" t="s">
        <v>258</v>
      </c>
      <c r="C22" s="191"/>
      <c r="D22" s="222">
        <v>0</v>
      </c>
      <c r="E22" s="222">
        <v>0</v>
      </c>
      <c r="F22" s="231">
        <v>0</v>
      </c>
    </row>
    <row r="23" spans="2:6">
      <c r="B23" s="251" t="s">
        <v>253</v>
      </c>
      <c r="C23" s="191"/>
      <c r="D23" s="222">
        <v>0</v>
      </c>
      <c r="E23" s="222">
        <v>0</v>
      </c>
      <c r="F23" s="231">
        <v>0</v>
      </c>
    </row>
    <row r="24" spans="2:6">
      <c r="B24" s="251" t="s">
        <v>259</v>
      </c>
      <c r="C24" s="191"/>
      <c r="D24" s="222">
        <v>0</v>
      </c>
      <c r="E24" s="222">
        <v>0</v>
      </c>
      <c r="F24" s="231">
        <v>0</v>
      </c>
    </row>
    <row r="25" spans="2:6">
      <c r="B25" s="251" t="s">
        <v>260</v>
      </c>
      <c r="C25" s="191"/>
      <c r="D25" s="222">
        <f>+D10+D11+D17+D24</f>
        <v>7879433.7999999998</v>
      </c>
      <c r="E25" s="222">
        <f>+E10+E11+E17+E24</f>
        <v>8344065.3300000001</v>
      </c>
      <c r="F25" s="231">
        <f>+F10+F11+F17+F24</f>
        <v>8239840.3200000003</v>
      </c>
    </row>
    <row r="26" spans="2:6">
      <c r="B26" s="251"/>
      <c r="C26" s="191"/>
      <c r="D26" s="222">
        <v>0</v>
      </c>
      <c r="E26" s="222">
        <v>0</v>
      </c>
      <c r="F26" s="231">
        <v>0</v>
      </c>
    </row>
    <row r="27" spans="2:6">
      <c r="B27" s="251" t="s">
        <v>261</v>
      </c>
      <c r="C27" s="191"/>
      <c r="D27" s="222">
        <v>0</v>
      </c>
      <c r="E27" s="222">
        <v>0</v>
      </c>
      <c r="F27" s="231">
        <v>0</v>
      </c>
    </row>
    <row r="28" spans="2:6">
      <c r="B28" s="251" t="s">
        <v>262</v>
      </c>
      <c r="C28" s="191"/>
      <c r="D28" s="216">
        <v>2363830.14</v>
      </c>
      <c r="E28" s="216">
        <f>+E25*30%</f>
        <v>2503219.5989999999</v>
      </c>
      <c r="F28" s="234">
        <f>+F25*30%</f>
        <v>2471952.0959999999</v>
      </c>
    </row>
    <row r="29" spans="2:6">
      <c r="B29" s="252" t="s">
        <v>263</v>
      </c>
      <c r="C29" s="191"/>
      <c r="D29" s="214">
        <f>+D25-D28</f>
        <v>5515603.6600000001</v>
      </c>
      <c r="E29" s="214">
        <f>+E25-E28</f>
        <v>5840845.7310000006</v>
      </c>
      <c r="F29" s="232">
        <f>+F25-F28</f>
        <v>5767888.2240000004</v>
      </c>
    </row>
    <row r="30" spans="2:6">
      <c r="B30" s="251"/>
      <c r="C30" s="191"/>
      <c r="D30" s="222"/>
      <c r="E30" s="222"/>
      <c r="F30" s="231"/>
    </row>
    <row r="31" spans="2:6" ht="13.5" thickBot="1">
      <c r="B31" s="252" t="s">
        <v>264</v>
      </c>
      <c r="C31" s="191"/>
      <c r="D31" s="221">
        <f>+D29+'income statement'!D33</f>
        <v>109632659.46200003</v>
      </c>
      <c r="E31" s="221">
        <f>+E29+'income statement'!E33</f>
        <v>102577309.70400003</v>
      </c>
      <c r="F31" s="241">
        <f>+F29+'income statement'!F33</f>
        <v>89272385.93900004</v>
      </c>
    </row>
    <row r="32" spans="2:6" ht="13.5" thickTop="1">
      <c r="B32" s="251"/>
      <c r="C32" s="191"/>
      <c r="D32" s="222"/>
      <c r="E32" s="222"/>
      <c r="F32" s="231"/>
    </row>
    <row r="33" spans="2:6">
      <c r="B33" s="251" t="s">
        <v>232</v>
      </c>
      <c r="C33" s="191"/>
      <c r="D33" s="222"/>
      <c r="E33" s="222"/>
      <c r="F33" s="231"/>
    </row>
    <row r="34" spans="2:6">
      <c r="B34" s="251" t="s">
        <v>233</v>
      </c>
      <c r="C34" s="191"/>
      <c r="D34" s="222">
        <f>D31</f>
        <v>109632659.46200003</v>
      </c>
      <c r="E34" s="222">
        <f>E31</f>
        <v>102577309.70400003</v>
      </c>
      <c r="F34" s="231">
        <f>F31</f>
        <v>89272385.93900004</v>
      </c>
    </row>
    <row r="35" spans="2:6">
      <c r="B35" s="251" t="s">
        <v>265</v>
      </c>
      <c r="C35" s="191"/>
      <c r="D35" s="216">
        <v>0</v>
      </c>
      <c r="E35" s="216">
        <v>0</v>
      </c>
      <c r="F35" s="234">
        <v>0</v>
      </c>
    </row>
    <row r="36" spans="2:6" ht="13.5" thickBot="1">
      <c r="B36" s="251"/>
      <c r="C36" s="191"/>
      <c r="D36" s="247">
        <f>+D34+D35</f>
        <v>109632659.46200003</v>
      </c>
      <c r="E36" s="247">
        <f>+E34+E35</f>
        <v>102577309.70400003</v>
      </c>
      <c r="F36" s="253">
        <f>+F34+F35</f>
        <v>89272385.93900004</v>
      </c>
    </row>
    <row r="37" spans="2:6">
      <c r="B37" s="198" t="s">
        <v>238</v>
      </c>
      <c r="C37" s="222"/>
      <c r="D37" s="222"/>
      <c r="E37" s="222"/>
      <c r="F37" s="231"/>
    </row>
    <row r="38" spans="2:6">
      <c r="B38" s="195" t="s">
        <v>239</v>
      </c>
      <c r="C38" s="222"/>
      <c r="D38" s="222">
        <f t="shared" ref="D38:E38" si="0">D36/44971230</f>
        <v>2.4378399136959348</v>
      </c>
      <c r="E38" s="222">
        <f t="shared" si="0"/>
        <v>2.2809540611631043</v>
      </c>
      <c r="F38" s="231">
        <f>F36/44971230</f>
        <v>1.9850999392055775</v>
      </c>
    </row>
    <row r="39" spans="2:6">
      <c r="B39" s="195" t="s">
        <v>240</v>
      </c>
      <c r="C39" s="222"/>
      <c r="D39" s="222">
        <f>D38</f>
        <v>2.4378399136959348</v>
      </c>
      <c r="E39" s="222">
        <f t="shared" ref="E39:F40" si="1">E38</f>
        <v>2.2809540611631043</v>
      </c>
      <c r="F39" s="231">
        <f t="shared" si="1"/>
        <v>1.9850999392055775</v>
      </c>
    </row>
    <row r="40" spans="2:6">
      <c r="B40" s="195" t="s">
        <v>241</v>
      </c>
      <c r="C40" s="222"/>
      <c r="D40" s="222">
        <f>D39</f>
        <v>2.4378399136959348</v>
      </c>
      <c r="E40" s="222">
        <f t="shared" si="1"/>
        <v>2.2809540611631043</v>
      </c>
      <c r="F40" s="231">
        <f t="shared" si="1"/>
        <v>1.9850999392055775</v>
      </c>
    </row>
    <row r="41" spans="2:6">
      <c r="B41" s="195" t="s">
        <v>242</v>
      </c>
      <c r="C41" s="222"/>
      <c r="D41" s="222">
        <f>D40</f>
        <v>2.4378399136959348</v>
      </c>
      <c r="E41" s="222">
        <f t="shared" ref="E41" si="2">E40</f>
        <v>2.2809540611631043</v>
      </c>
      <c r="F41" s="231">
        <f t="shared" ref="F41" si="3">F40</f>
        <v>1.9850999392055775</v>
      </c>
    </row>
    <row r="42" spans="2:6" ht="13.5" thickBot="1">
      <c r="B42" s="254"/>
      <c r="C42" s="255"/>
      <c r="D42" s="255"/>
      <c r="E42" s="255"/>
      <c r="F42" s="256"/>
    </row>
  </sheetData>
  <customSheetViews>
    <customSheetView guid="{72AECFDF-D723-4070-8275-F05FB2F264F1}" topLeftCell="A9">
      <selection activeCell="D25" sqref="D25"/>
      <pageMargins left="0.7" right="0.7" top="0.75" bottom="0.75" header="0.3" footer="0.3"/>
    </customSheetView>
    <customSheetView guid="{9A88D99D-9CFD-4D2A-BD86-16F4695A8B22}" state="hidden" topLeftCell="A5">
      <selection activeCell="E25" sqref="E25"/>
      <pageMargins left="0.7" right="0.7" top="0.75" bottom="0.75" header="0.3" footer="0.3"/>
    </customSheetView>
  </customSheetViews>
  <mergeCells count="3">
    <mergeCell ref="D4:F4"/>
    <mergeCell ref="B2:F2"/>
    <mergeCell ref="D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heetViews>
  <sheetFormatPr defaultColWidth="9.140625" defaultRowHeight="12.75"/>
  <cols>
    <col min="1" max="1" width="4.28515625" style="186" customWidth="1"/>
    <col min="2" max="2" width="151.7109375" style="186" customWidth="1"/>
    <col min="3" max="16384" width="9.140625" style="186"/>
  </cols>
  <sheetData>
    <row r="1" spans="1:2">
      <c r="A1" s="188"/>
    </row>
    <row r="3" spans="1:2">
      <c r="A3" s="316"/>
      <c r="B3" s="188"/>
    </row>
    <row r="4" spans="1:2">
      <c r="B4" s="317"/>
    </row>
    <row r="6" spans="1:2">
      <c r="A6" s="316"/>
      <c r="B6" s="188"/>
    </row>
    <row r="7" spans="1:2" ht="96.75" customHeight="1">
      <c r="B7" s="317"/>
    </row>
    <row r="9" spans="1:2">
      <c r="A9" s="316"/>
    </row>
  </sheetData>
  <customSheetViews>
    <customSheetView guid="{9A88D99D-9CFD-4D2A-BD86-16F4695A8B22}" state="hidden">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0"/>
  <sheetViews>
    <sheetView topLeftCell="A100" workbookViewId="0">
      <selection activeCell="D67" sqref="D67"/>
    </sheetView>
  </sheetViews>
  <sheetFormatPr defaultColWidth="9.140625" defaultRowHeight="12.75"/>
  <cols>
    <col min="1" max="1" width="4" style="167" customWidth="1"/>
    <col min="2" max="2" width="8.28515625" style="167" customWidth="1"/>
    <col min="3" max="3" width="46.7109375" style="167" bestFit="1" customWidth="1"/>
    <col min="4" max="4" width="24.7109375" style="169" customWidth="1"/>
    <col min="5" max="5" width="24.7109375" style="167" customWidth="1"/>
    <col min="6" max="6" width="22.85546875" style="169" bestFit="1" customWidth="1"/>
    <col min="7" max="7" width="9.140625" style="167"/>
    <col min="8" max="8" width="19.28515625" style="167" bestFit="1" customWidth="1"/>
    <col min="9" max="16384" width="9.140625" style="167"/>
  </cols>
  <sheetData>
    <row r="1" spans="2:6" ht="13.5" thickBot="1"/>
    <row r="2" spans="2:6" ht="16.5" thickBot="1">
      <c r="B2" s="629" t="s">
        <v>154</v>
      </c>
      <c r="C2" s="630"/>
      <c r="D2" s="630"/>
      <c r="E2" s="630"/>
      <c r="F2" s="631"/>
    </row>
    <row r="3" spans="2:6" ht="15" customHeight="1" thickBot="1">
      <c r="B3" s="174"/>
      <c r="C3" s="175"/>
      <c r="D3" s="632" t="s">
        <v>207</v>
      </c>
      <c r="E3" s="633"/>
      <c r="F3" s="634"/>
    </row>
    <row r="4" spans="2:6" ht="13.5" thickBot="1">
      <c r="B4" s="174"/>
      <c r="C4" s="175"/>
      <c r="D4" s="177"/>
      <c r="E4" s="175"/>
      <c r="F4" s="178"/>
    </row>
    <row r="5" spans="2:6" ht="13.5" thickBot="1">
      <c r="B5" s="334" t="s">
        <v>367</v>
      </c>
      <c r="C5" s="175"/>
      <c r="D5" s="335" t="s">
        <v>355</v>
      </c>
      <c r="E5" s="336" t="s">
        <v>356</v>
      </c>
      <c r="F5" s="337" t="s">
        <v>357</v>
      </c>
    </row>
    <row r="6" spans="2:6">
      <c r="B6" s="180"/>
      <c r="C6" s="175"/>
      <c r="D6" s="338"/>
      <c r="E6" s="339"/>
      <c r="F6" s="340"/>
    </row>
    <row r="7" spans="2:6">
      <c r="B7" s="266" t="s">
        <v>243</v>
      </c>
      <c r="C7" s="341" t="s">
        <v>186</v>
      </c>
      <c r="D7" s="270"/>
      <c r="E7" s="177"/>
      <c r="F7" s="178"/>
    </row>
    <row r="8" spans="2:6">
      <c r="B8" s="174"/>
      <c r="C8" s="175" t="s">
        <v>48</v>
      </c>
      <c r="D8" s="270">
        <v>424921941.16000003</v>
      </c>
      <c r="E8" s="177">
        <v>424921941.16000003</v>
      </c>
      <c r="F8" s="178">
        <v>373369532.47000003</v>
      </c>
    </row>
    <row r="9" spans="2:6">
      <c r="B9" s="174"/>
      <c r="C9" s="175" t="s">
        <v>81</v>
      </c>
      <c r="D9" s="270">
        <v>45705206.850000001</v>
      </c>
      <c r="E9" s="177">
        <v>45705206.850000001</v>
      </c>
      <c r="F9" s="178">
        <v>15803492.65</v>
      </c>
    </row>
    <row r="10" spans="2:6">
      <c r="B10" s="174"/>
      <c r="C10" s="175" t="s">
        <v>96</v>
      </c>
      <c r="D10" s="270">
        <v>101594</v>
      </c>
      <c r="E10" s="177">
        <v>101594</v>
      </c>
      <c r="F10" s="178">
        <v>5883</v>
      </c>
    </row>
    <row r="11" spans="2:6" ht="13.5" thickBot="1">
      <c r="B11" s="174"/>
      <c r="C11" s="175"/>
      <c r="D11" s="271">
        <f>SUM(D8:D10)</f>
        <v>470728742.01000005</v>
      </c>
      <c r="E11" s="172">
        <v>470728742.01000005</v>
      </c>
      <c r="F11" s="181">
        <f>SUM(F8:F10)</f>
        <v>389178908.12</v>
      </c>
    </row>
    <row r="12" spans="2:6" ht="13.5" thickTop="1">
      <c r="B12" s="174"/>
      <c r="C12" s="175"/>
      <c r="D12" s="270"/>
      <c r="E12" s="177"/>
      <c r="F12" s="178"/>
    </row>
    <row r="13" spans="2:6">
      <c r="B13" s="266" t="s">
        <v>244</v>
      </c>
      <c r="C13" s="341" t="s">
        <v>188</v>
      </c>
      <c r="D13" s="272"/>
      <c r="E13" s="267"/>
      <c r="F13" s="178"/>
    </row>
    <row r="14" spans="2:6">
      <c r="B14" s="174"/>
      <c r="C14" s="175" t="s">
        <v>51</v>
      </c>
      <c r="D14" s="270">
        <v>259376439.53</v>
      </c>
      <c r="E14" s="177">
        <v>259376439.53</v>
      </c>
      <c r="F14" s="178">
        <v>155892287.96000001</v>
      </c>
    </row>
    <row r="15" spans="2:6">
      <c r="B15" s="174"/>
      <c r="C15" s="175" t="s">
        <v>103</v>
      </c>
      <c r="D15" s="270">
        <v>17358904.109999999</v>
      </c>
      <c r="E15" s="177">
        <v>17358904.109999999</v>
      </c>
      <c r="F15" s="178">
        <v>10800000</v>
      </c>
    </row>
    <row r="16" spans="2:6" ht="13.5" thickBot="1">
      <c r="B16" s="174"/>
      <c r="C16" s="175"/>
      <c r="D16" s="271">
        <f>SUM(D14:D15)</f>
        <v>276735343.63999999</v>
      </c>
      <c r="E16" s="172">
        <v>276735343.63999999</v>
      </c>
      <c r="F16" s="181">
        <f>SUM(F14:F15)</f>
        <v>166692287.96000001</v>
      </c>
    </row>
    <row r="17" spans="2:8" ht="13.5" thickTop="1">
      <c r="B17" s="174"/>
      <c r="C17" s="175"/>
      <c r="D17" s="270"/>
      <c r="E17" s="177"/>
      <c r="F17" s="178"/>
    </row>
    <row r="18" spans="2:8">
      <c r="B18" s="266" t="s">
        <v>245</v>
      </c>
      <c r="C18" s="341" t="s">
        <v>189</v>
      </c>
      <c r="D18" s="270"/>
      <c r="E18" s="177"/>
      <c r="F18" s="178"/>
    </row>
    <row r="19" spans="2:8">
      <c r="B19" s="174"/>
      <c r="C19" s="175" t="s">
        <v>191</v>
      </c>
      <c r="D19" s="270">
        <v>59050477.640000001</v>
      </c>
      <c r="E19" s="177">
        <v>59050477.640000001</v>
      </c>
      <c r="F19" s="178">
        <v>31944661.949999999</v>
      </c>
    </row>
    <row r="20" spans="2:8">
      <c r="B20" s="174"/>
      <c r="C20" s="175" t="s">
        <v>192</v>
      </c>
      <c r="D20" s="270">
        <v>0</v>
      </c>
      <c r="E20" s="177">
        <v>0</v>
      </c>
      <c r="F20" s="178">
        <v>0</v>
      </c>
    </row>
    <row r="21" spans="2:8" ht="13.5" thickBot="1">
      <c r="B21" s="174"/>
      <c r="C21" s="268" t="s">
        <v>189</v>
      </c>
      <c r="D21" s="271">
        <f>SUM(D19:D20)</f>
        <v>59050477.640000001</v>
      </c>
      <c r="E21" s="172">
        <v>59050477.640000001</v>
      </c>
      <c r="F21" s="181">
        <f>SUM(F19:F20)</f>
        <v>31944661.949999999</v>
      </c>
    </row>
    <row r="22" spans="2:8" ht="13.5" thickTop="1">
      <c r="B22" s="174"/>
      <c r="C22" s="175"/>
      <c r="D22" s="270"/>
      <c r="E22" s="177"/>
      <c r="F22" s="178"/>
    </row>
    <row r="23" spans="2:8">
      <c r="B23" s="266" t="s">
        <v>185</v>
      </c>
      <c r="C23" s="341" t="s">
        <v>194</v>
      </c>
      <c r="D23" s="270"/>
      <c r="E23" s="177"/>
      <c r="F23" s="178"/>
    </row>
    <row r="24" spans="2:8">
      <c r="B24" s="174"/>
      <c r="C24" s="175" t="s">
        <v>267</v>
      </c>
      <c r="D24" s="270">
        <v>0</v>
      </c>
      <c r="E24" s="177">
        <v>0</v>
      </c>
      <c r="F24" s="178"/>
    </row>
    <row r="25" spans="2:8">
      <c r="B25" s="174"/>
      <c r="C25" s="175" t="s">
        <v>195</v>
      </c>
      <c r="D25" s="270">
        <v>39059658.149999999</v>
      </c>
      <c r="E25" s="177">
        <v>39059658.149999999</v>
      </c>
      <c r="F25" s="178">
        <v>22040114.18</v>
      </c>
      <c r="H25" s="170"/>
    </row>
    <row r="26" spans="2:8">
      <c r="B26" s="174"/>
      <c r="C26" s="313" t="s">
        <v>409</v>
      </c>
      <c r="D26" s="177">
        <f>+D27</f>
        <v>7879433.7999999998</v>
      </c>
      <c r="E26" s="177">
        <v>7879433.7999999998</v>
      </c>
      <c r="F26" s="178">
        <f t="shared" ref="F26" si="0">+F27</f>
        <v>8239840.3200000003</v>
      </c>
      <c r="H26" s="170"/>
    </row>
    <row r="27" spans="2:8">
      <c r="B27" s="174"/>
      <c r="C27" s="312" t="s">
        <v>413</v>
      </c>
      <c r="D27" s="270">
        <v>7879433.7999999998</v>
      </c>
      <c r="E27" s="177">
        <v>7879433.7999999998</v>
      </c>
      <c r="F27" s="178">
        <v>8239840.3200000003</v>
      </c>
      <c r="H27" s="170"/>
    </row>
    <row r="28" spans="2:8" ht="13.5" thickBot="1">
      <c r="B28" s="174"/>
      <c r="C28" s="175"/>
      <c r="D28" s="271">
        <f>+D26+D25</f>
        <v>46939091.949999996</v>
      </c>
      <c r="E28" s="271">
        <v>46939091.949999996</v>
      </c>
      <c r="F28" s="315">
        <f>+F26+F25</f>
        <v>30279954.5</v>
      </c>
    </row>
    <row r="29" spans="2:8" ht="13.5" thickTop="1">
      <c r="B29" s="174"/>
      <c r="C29" s="175"/>
      <c r="D29" s="270"/>
      <c r="E29" s="177"/>
      <c r="F29" s="178"/>
    </row>
    <row r="30" spans="2:8">
      <c r="B30" s="266" t="s">
        <v>187</v>
      </c>
      <c r="C30" s="341" t="s">
        <v>246</v>
      </c>
      <c r="D30" s="270"/>
      <c r="E30" s="177"/>
      <c r="F30" s="178"/>
    </row>
    <row r="31" spans="2:8">
      <c r="B31" s="174"/>
      <c r="C31" s="177" t="s">
        <v>111</v>
      </c>
      <c r="D31" s="270"/>
      <c r="E31" s="177"/>
      <c r="F31" s="178"/>
    </row>
    <row r="32" spans="2:8">
      <c r="B32" s="174"/>
      <c r="C32" s="175" t="s">
        <v>112</v>
      </c>
      <c r="D32" s="270">
        <v>2718753.74</v>
      </c>
      <c r="E32" s="177">
        <v>2718753.74</v>
      </c>
      <c r="F32" s="178">
        <v>7730755.4100000001</v>
      </c>
    </row>
    <row r="33" spans="2:7">
      <c r="B33" s="174"/>
      <c r="C33" s="175" t="s">
        <v>114</v>
      </c>
      <c r="D33" s="270">
        <v>25789680.649999999</v>
      </c>
      <c r="E33" s="177">
        <v>25789680.649999999</v>
      </c>
      <c r="F33" s="178">
        <v>17020756.559999999</v>
      </c>
    </row>
    <row r="34" spans="2:7">
      <c r="B34" s="174"/>
      <c r="C34" s="175" t="s">
        <v>113</v>
      </c>
      <c r="D34" s="270">
        <v>-2203967.14</v>
      </c>
      <c r="E34" s="177">
        <v>-2203967.14</v>
      </c>
      <c r="F34" s="178">
        <v>18515978.170000002</v>
      </c>
    </row>
    <row r="35" spans="2:7">
      <c r="B35" s="174"/>
      <c r="C35" s="175" t="s">
        <v>121</v>
      </c>
      <c r="D35" s="270">
        <v>0</v>
      </c>
      <c r="E35" s="177">
        <v>0</v>
      </c>
      <c r="F35" s="178">
        <v>0</v>
      </c>
    </row>
    <row r="36" spans="2:7" ht="13.5" thickBot="1">
      <c r="B36" s="174"/>
      <c r="C36" s="175"/>
      <c r="D36" s="271">
        <f>SUM(D32:D35)</f>
        <v>26304467.25</v>
      </c>
      <c r="E36" s="172">
        <v>26304467.25</v>
      </c>
      <c r="F36" s="181">
        <f>SUM(F32:F35)</f>
        <v>43267490.140000001</v>
      </c>
    </row>
    <row r="37" spans="2:7" ht="13.5" thickTop="1">
      <c r="B37" s="174"/>
      <c r="C37" s="175"/>
      <c r="D37" s="270"/>
      <c r="E37" s="177"/>
      <c r="F37" s="178"/>
    </row>
    <row r="38" spans="2:7">
      <c r="B38" s="266" t="s">
        <v>190</v>
      </c>
      <c r="C38" s="341" t="s">
        <v>199</v>
      </c>
      <c r="D38" s="270"/>
      <c r="E38" s="177"/>
      <c r="F38" s="178"/>
    </row>
    <row r="39" spans="2:7">
      <c r="B39" s="174"/>
      <c r="C39" s="177" t="s">
        <v>200</v>
      </c>
      <c r="D39" s="270">
        <v>50274230.770000003</v>
      </c>
      <c r="E39" s="177">
        <v>50274230.770000003</v>
      </c>
      <c r="F39" s="178">
        <v>41033543.399999999</v>
      </c>
      <c r="G39" s="169"/>
    </row>
    <row r="40" spans="2:7" ht="13.5" thickBot="1">
      <c r="B40" s="174"/>
      <c r="C40" s="175"/>
      <c r="D40" s="271">
        <f>SUM(D39:D39)</f>
        <v>50274230.770000003</v>
      </c>
      <c r="E40" s="172">
        <v>50274230.770000003</v>
      </c>
      <c r="F40" s="181">
        <f>SUM(F39:F39)</f>
        <v>41033543.399999999</v>
      </c>
    </row>
    <row r="41" spans="2:7" ht="13.5" thickTop="1">
      <c r="B41" s="174"/>
      <c r="C41" s="175"/>
      <c r="D41" s="270"/>
      <c r="E41" s="177"/>
      <c r="F41" s="178"/>
    </row>
    <row r="42" spans="2:7">
      <c r="B42" s="266" t="s">
        <v>193</v>
      </c>
      <c r="C42" s="341" t="s">
        <v>208</v>
      </c>
      <c r="D42" s="270"/>
      <c r="E42" s="177"/>
      <c r="F42" s="178"/>
    </row>
    <row r="43" spans="2:7">
      <c r="B43" s="174"/>
      <c r="C43" s="175" t="s">
        <v>209</v>
      </c>
      <c r="D43" s="270">
        <v>2848998.92</v>
      </c>
      <c r="E43" s="177">
        <v>2848998.92</v>
      </c>
      <c r="F43" s="178">
        <v>3071632.53</v>
      </c>
    </row>
    <row r="44" spans="2:7">
      <c r="B44" s="174"/>
      <c r="C44" s="175" t="s">
        <v>210</v>
      </c>
      <c r="D44" s="270">
        <v>16881540.469999999</v>
      </c>
      <c r="E44" s="177">
        <v>16881540.469999999</v>
      </c>
      <c r="F44" s="178">
        <v>15104330.24</v>
      </c>
    </row>
    <row r="45" spans="2:7">
      <c r="B45" s="174"/>
      <c r="C45" s="175" t="s">
        <v>91</v>
      </c>
      <c r="D45" s="270">
        <v>14378827.08</v>
      </c>
      <c r="E45" s="177">
        <v>14378827.08</v>
      </c>
      <c r="F45" s="178">
        <v>10526242.439999999</v>
      </c>
    </row>
    <row r="46" spans="2:7">
      <c r="B46" s="174"/>
      <c r="C46" s="175" t="s">
        <v>211</v>
      </c>
      <c r="D46" s="270">
        <v>225000</v>
      </c>
      <c r="E46" s="177">
        <v>225000</v>
      </c>
      <c r="F46" s="178">
        <v>225000</v>
      </c>
    </row>
    <row r="47" spans="2:7">
      <c r="B47" s="174"/>
      <c r="C47" s="175" t="s">
        <v>212</v>
      </c>
      <c r="D47" s="270">
        <v>12019632</v>
      </c>
      <c r="E47" s="177">
        <v>12019632</v>
      </c>
      <c r="F47" s="178">
        <v>8817271</v>
      </c>
    </row>
    <row r="48" spans="2:7">
      <c r="B48" s="174"/>
      <c r="C48" s="175" t="s">
        <v>195</v>
      </c>
      <c r="D48" s="270">
        <v>15295030.1</v>
      </c>
      <c r="E48" s="177">
        <v>15295030.1</v>
      </c>
      <c r="F48" s="178">
        <f>15126933.5+3307991.08</f>
        <v>18434924.579999998</v>
      </c>
    </row>
    <row r="49" spans="2:6" ht="13.5" thickBot="1">
      <c r="B49" s="174"/>
      <c r="C49" s="175"/>
      <c r="D49" s="271">
        <f>SUM(D43:D48)</f>
        <v>61649028.57</v>
      </c>
      <c r="E49" s="172">
        <v>61649028.57</v>
      </c>
      <c r="F49" s="181">
        <f>SUM(F43:F48)</f>
        <v>56179400.789999999</v>
      </c>
    </row>
    <row r="50" spans="2:6" ht="13.5" thickTop="1">
      <c r="B50" s="174"/>
      <c r="C50" s="175"/>
      <c r="D50" s="273"/>
      <c r="E50" s="258"/>
      <c r="F50" s="178"/>
    </row>
    <row r="51" spans="2:6">
      <c r="B51" s="266" t="s">
        <v>196</v>
      </c>
      <c r="C51" s="341" t="s">
        <v>336</v>
      </c>
      <c r="D51" s="270"/>
      <c r="E51" s="177"/>
      <c r="F51" s="178"/>
    </row>
    <row r="52" spans="2:6">
      <c r="B52" s="174"/>
      <c r="C52" s="175" t="s">
        <v>213</v>
      </c>
      <c r="D52" s="270">
        <f>+'income statement'!D29*30%+compr.income!D28</f>
        <v>48770295.468000017</v>
      </c>
      <c r="E52" s="177">
        <v>46509007.827000007</v>
      </c>
      <c r="F52" s="178">
        <f>+'income statement'!F29*30%+compr.income!F28</f>
        <v>41916223.995000012</v>
      </c>
    </row>
    <row r="53" spans="2:6">
      <c r="B53" s="174"/>
      <c r="C53" s="175" t="s">
        <v>330</v>
      </c>
      <c r="D53" s="270">
        <v>0</v>
      </c>
      <c r="E53" s="177">
        <v>0</v>
      </c>
      <c r="F53" s="178">
        <v>2332530</v>
      </c>
    </row>
    <row r="54" spans="2:6">
      <c r="B54" s="174"/>
      <c r="C54" s="175" t="s">
        <v>266</v>
      </c>
      <c r="D54" s="270">
        <f>+'Deferred tax'!D21</f>
        <v>-2120107</v>
      </c>
      <c r="E54" s="177">
        <v>-15853</v>
      </c>
      <c r="F54" s="178">
        <v>0</v>
      </c>
    </row>
    <row r="55" spans="2:6">
      <c r="B55" s="174"/>
      <c r="C55" s="175" t="s">
        <v>123</v>
      </c>
      <c r="D55" s="270">
        <v>3920973.49</v>
      </c>
      <c r="E55" s="177">
        <v>3920973.49</v>
      </c>
      <c r="F55" s="178">
        <v>3727654.62</v>
      </c>
    </row>
    <row r="56" spans="2:6" ht="13.5" thickBot="1">
      <c r="B56" s="174"/>
      <c r="C56" s="175"/>
      <c r="D56" s="271">
        <f>SUM(D52:D55)</f>
        <v>50571161.958000019</v>
      </c>
      <c r="E56" s="172">
        <v>50414128.317000009</v>
      </c>
      <c r="F56" s="181">
        <f>SUM(F52:F55)</f>
        <v>47976408.61500001</v>
      </c>
    </row>
    <row r="57" spans="2:6" ht="13.5" thickTop="1">
      <c r="B57" s="174"/>
      <c r="C57" s="175"/>
      <c r="D57" s="270"/>
      <c r="E57" s="177"/>
      <c r="F57" s="178"/>
    </row>
    <row r="58" spans="2:6">
      <c r="B58" s="266" t="s">
        <v>197</v>
      </c>
      <c r="C58" s="341" t="s">
        <v>269</v>
      </c>
      <c r="D58" s="270"/>
      <c r="E58" s="177"/>
      <c r="F58" s="178"/>
    </row>
    <row r="59" spans="2:6">
      <c r="B59" s="174"/>
      <c r="C59" s="268" t="s">
        <v>64</v>
      </c>
      <c r="D59" s="270"/>
      <c r="E59" s="177"/>
      <c r="F59" s="178"/>
    </row>
    <row r="60" spans="2:6">
      <c r="B60" s="174"/>
      <c r="C60" s="175" t="s">
        <v>30</v>
      </c>
      <c r="D60" s="270">
        <v>55249190.710000001</v>
      </c>
      <c r="E60" s="177">
        <v>55249190.710000001</v>
      </c>
      <c r="F60" s="178">
        <v>150817146</v>
      </c>
    </row>
    <row r="61" spans="2:6">
      <c r="B61" s="174"/>
      <c r="C61" s="175" t="s">
        <v>31</v>
      </c>
      <c r="D61" s="270">
        <v>157120</v>
      </c>
      <c r="E61" s="177">
        <v>157120</v>
      </c>
      <c r="F61" s="178">
        <v>1028410</v>
      </c>
    </row>
    <row r="62" spans="2:6">
      <c r="B62" s="174"/>
      <c r="C62" s="175" t="s">
        <v>32</v>
      </c>
      <c r="D62" s="270">
        <v>43850269.850000001</v>
      </c>
      <c r="E62" s="177">
        <v>43850269.850000001</v>
      </c>
      <c r="F62" s="178">
        <v>20481011.93</v>
      </c>
    </row>
    <row r="63" spans="2:6">
      <c r="B63" s="174"/>
      <c r="C63" s="175"/>
      <c r="D63" s="270"/>
      <c r="E63" s="177"/>
      <c r="F63" s="178"/>
    </row>
    <row r="64" spans="2:6">
      <c r="B64" s="174"/>
      <c r="C64" s="175" t="s">
        <v>305</v>
      </c>
      <c r="D64" s="270">
        <f>299050533.69</f>
        <v>299050533.69</v>
      </c>
      <c r="E64" s="177">
        <v>299050533.69</v>
      </c>
      <c r="F64" s="178">
        <v>200085979</v>
      </c>
    </row>
    <row r="65" spans="2:8">
      <c r="B65" s="174"/>
      <c r="C65" s="175" t="s">
        <v>304</v>
      </c>
      <c r="D65" s="270">
        <v>100000</v>
      </c>
      <c r="E65" s="177">
        <v>100000</v>
      </c>
      <c r="F65" s="178">
        <v>100000</v>
      </c>
    </row>
    <row r="66" spans="2:8">
      <c r="B66" s="174"/>
      <c r="C66" s="175" t="s">
        <v>34</v>
      </c>
      <c r="D66" s="270">
        <f>1697600727.72-2134235</f>
        <v>1695466492.72</v>
      </c>
      <c r="E66" s="177">
        <v>1695466492.72</v>
      </c>
      <c r="F66" s="178">
        <v>966867183.14999998</v>
      </c>
    </row>
    <row r="67" spans="2:8" ht="13.5" thickBot="1">
      <c r="B67" s="174"/>
      <c r="C67" s="175"/>
      <c r="D67" s="271">
        <f>SUM(D60:D66)</f>
        <v>2093873606.97</v>
      </c>
      <c r="E67" s="172">
        <v>2093873606.97</v>
      </c>
      <c r="F67" s="181">
        <f>SUM(F60:F66)</f>
        <v>1339379730.0799999</v>
      </c>
    </row>
    <row r="68" spans="2:8" ht="13.5" thickTop="1">
      <c r="B68" s="174"/>
      <c r="C68" s="175"/>
      <c r="D68" s="270"/>
      <c r="E68" s="177"/>
      <c r="F68" s="178"/>
    </row>
    <row r="69" spans="2:8">
      <c r="B69" s="266" t="s">
        <v>198</v>
      </c>
      <c r="C69" s="341" t="s">
        <v>270</v>
      </c>
      <c r="D69" s="270"/>
      <c r="E69" s="177"/>
      <c r="F69" s="178"/>
      <c r="H69" s="170">
        <f>D67+D75</f>
        <v>3215647311.21</v>
      </c>
    </row>
    <row r="70" spans="2:8">
      <c r="B70" s="174"/>
      <c r="C70" s="175" t="s">
        <v>35</v>
      </c>
      <c r="D70" s="270"/>
      <c r="E70" s="177"/>
      <c r="F70" s="178"/>
    </row>
    <row r="71" spans="2:8">
      <c r="B71" s="174"/>
      <c r="C71" s="175" t="s">
        <v>36</v>
      </c>
      <c r="D71" s="270">
        <v>535093016.43000001</v>
      </c>
      <c r="E71" s="177">
        <v>535093016.43000001</v>
      </c>
      <c r="F71" s="178">
        <v>529155533.51999998</v>
      </c>
    </row>
    <row r="72" spans="2:8">
      <c r="B72" s="174"/>
      <c r="C72" s="175"/>
      <c r="D72" s="270"/>
      <c r="E72" s="177"/>
      <c r="F72" s="178"/>
    </row>
    <row r="73" spans="2:8">
      <c r="B73" s="174"/>
      <c r="C73" s="175" t="s">
        <v>37</v>
      </c>
      <c r="D73" s="270">
        <f>24269382.81+2134235</f>
        <v>26403617.809999999</v>
      </c>
      <c r="E73" s="177">
        <v>26403617.809999999</v>
      </c>
      <c r="F73" s="178">
        <v>81505659.620000005</v>
      </c>
    </row>
    <row r="74" spans="2:8">
      <c r="B74" s="174"/>
      <c r="C74" s="175" t="s">
        <v>73</v>
      </c>
      <c r="D74" s="270">
        <v>560277070</v>
      </c>
      <c r="E74" s="177">
        <v>560277070</v>
      </c>
      <c r="F74" s="178">
        <v>300000000</v>
      </c>
    </row>
    <row r="75" spans="2:8" ht="13.5" thickBot="1">
      <c r="B75" s="174"/>
      <c r="C75" s="175"/>
      <c r="D75" s="271">
        <f>SUM(D71:D74)</f>
        <v>1121773704.24</v>
      </c>
      <c r="E75" s="172">
        <v>1121773704.24</v>
      </c>
      <c r="F75" s="181">
        <f>SUM(F71:F74)</f>
        <v>910661193.13999999</v>
      </c>
    </row>
    <row r="76" spans="2:8" ht="13.5" thickTop="1">
      <c r="B76" s="174"/>
      <c r="C76" s="175"/>
      <c r="D76" s="270"/>
      <c r="E76" s="177"/>
      <c r="F76" s="178"/>
    </row>
    <row r="77" spans="2:8">
      <c r="B77" s="266" t="s">
        <v>306</v>
      </c>
      <c r="C77" s="341" t="s">
        <v>277</v>
      </c>
      <c r="D77" s="270"/>
      <c r="E77" s="177"/>
      <c r="F77" s="178"/>
    </row>
    <row r="78" spans="2:8">
      <c r="B78" s="174"/>
      <c r="C78" s="175" t="s">
        <v>38</v>
      </c>
      <c r="D78" s="270">
        <v>267941360.93000001</v>
      </c>
      <c r="E78" s="177">
        <v>267941360.93000001</v>
      </c>
      <c r="F78" s="178">
        <v>406995958.06999999</v>
      </c>
    </row>
    <row r="79" spans="2:8">
      <c r="B79" s="174"/>
      <c r="C79" s="175" t="s">
        <v>39</v>
      </c>
      <c r="D79" s="270">
        <v>259983387</v>
      </c>
      <c r="E79" s="177">
        <v>259983387</v>
      </c>
      <c r="F79" s="178">
        <v>150491534.24000001</v>
      </c>
    </row>
    <row r="80" spans="2:8">
      <c r="B80" s="174"/>
      <c r="C80" s="175" t="s">
        <v>40</v>
      </c>
      <c r="D80" s="270">
        <v>810109437.98000002</v>
      </c>
      <c r="E80" s="177">
        <v>810109437.98000002</v>
      </c>
      <c r="F80" s="178">
        <v>641069236.51999998</v>
      </c>
    </row>
    <row r="81" spans="2:6">
      <c r="B81" s="174"/>
      <c r="C81" s="175" t="s">
        <v>41</v>
      </c>
      <c r="D81" s="270">
        <f>2574655933.26+3483201+1847</f>
        <v>2578140981.2600002</v>
      </c>
      <c r="E81" s="177">
        <v>2578140981.2600002</v>
      </c>
      <c r="F81" s="178">
        <f>2341141760+36062813.37</f>
        <v>2377204573.3699999</v>
      </c>
    </row>
    <row r="82" spans="2:6">
      <c r="B82" s="174"/>
      <c r="C82" s="175" t="s">
        <v>72</v>
      </c>
      <c r="D82" s="270">
        <v>899000</v>
      </c>
      <c r="E82" s="177">
        <v>899000</v>
      </c>
      <c r="F82" s="178">
        <v>0</v>
      </c>
    </row>
    <row r="83" spans="2:6" ht="13.5" thickBot="1">
      <c r="B83" s="174"/>
      <c r="C83" s="175"/>
      <c r="D83" s="271">
        <f>SUM(D78:D82)</f>
        <v>3917074167.1700001</v>
      </c>
      <c r="E83" s="172">
        <v>3917074167.1700001</v>
      </c>
      <c r="F83" s="181">
        <f>SUM(F78:F82)</f>
        <v>3575761302.1999998</v>
      </c>
    </row>
    <row r="84" spans="2:6" ht="13.5" thickTop="1">
      <c r="B84" s="174"/>
      <c r="C84" s="175"/>
      <c r="D84" s="270"/>
      <c r="E84" s="177"/>
      <c r="F84" s="178"/>
    </row>
    <row r="85" spans="2:6">
      <c r="B85" s="266" t="s">
        <v>307</v>
      </c>
      <c r="C85" s="341" t="s">
        <v>281</v>
      </c>
      <c r="D85" s="270"/>
      <c r="E85" s="177"/>
      <c r="F85" s="178"/>
    </row>
    <row r="86" spans="2:6">
      <c r="B86" s="174"/>
      <c r="C86" s="175" t="s">
        <v>47</v>
      </c>
      <c r="D86" s="270">
        <v>63640.3</v>
      </c>
      <c r="E86" s="177">
        <v>63640.3</v>
      </c>
      <c r="F86" s="178">
        <v>16042</v>
      </c>
    </row>
    <row r="87" spans="2:6">
      <c r="B87" s="174"/>
      <c r="C87" s="175" t="s">
        <v>101</v>
      </c>
      <c r="D87" s="270">
        <v>41299995.600000001</v>
      </c>
      <c r="E87" s="177">
        <v>41299995.600000001</v>
      </c>
      <c r="F87" s="178">
        <v>13151905.33</v>
      </c>
    </row>
    <row r="88" spans="2:6">
      <c r="B88" s="174"/>
      <c r="C88" s="175" t="s">
        <v>116</v>
      </c>
      <c r="D88" s="270">
        <v>22796678.690000001</v>
      </c>
      <c r="E88" s="177">
        <v>22796678.690000001</v>
      </c>
      <c r="F88" s="178">
        <v>7533284</v>
      </c>
    </row>
    <row r="89" spans="2:6">
      <c r="B89" s="174"/>
      <c r="C89" s="175" t="s">
        <v>117</v>
      </c>
      <c r="D89" s="270"/>
      <c r="E89" s="177"/>
      <c r="F89" s="178">
        <v>633919.64</v>
      </c>
    </row>
    <row r="90" spans="2:6">
      <c r="B90" s="174"/>
      <c r="C90" s="175" t="s">
        <v>335</v>
      </c>
      <c r="D90" s="270">
        <v>0</v>
      </c>
      <c r="E90" s="177">
        <v>0</v>
      </c>
      <c r="F90" s="178">
        <v>19010000</v>
      </c>
    </row>
    <row r="91" spans="2:6">
      <c r="B91" s="174"/>
      <c r="C91" s="175" t="s">
        <v>182</v>
      </c>
      <c r="D91" s="270">
        <v>1375000</v>
      </c>
      <c r="E91" s="177">
        <v>1375000</v>
      </c>
      <c r="F91" s="178">
        <v>500000</v>
      </c>
    </row>
    <row r="92" spans="2:6">
      <c r="B92" s="174"/>
      <c r="C92" s="175" t="s">
        <v>95</v>
      </c>
      <c r="D92" s="270">
        <v>12000000</v>
      </c>
      <c r="E92" s="177">
        <v>12000000</v>
      </c>
      <c r="F92" s="178">
        <v>12000000</v>
      </c>
    </row>
    <row r="93" spans="2:6">
      <c r="B93" s="174"/>
      <c r="C93" s="175" t="s">
        <v>99</v>
      </c>
      <c r="D93" s="270">
        <v>0</v>
      </c>
      <c r="E93" s="177">
        <v>0</v>
      </c>
      <c r="F93" s="178">
        <v>90643818.439999998</v>
      </c>
    </row>
    <row r="94" spans="2:6">
      <c r="B94" s="174"/>
      <c r="C94" s="175" t="s">
        <v>106</v>
      </c>
      <c r="D94" s="270">
        <v>1254787.8999999999</v>
      </c>
      <c r="E94" s="177">
        <v>1254787.8999999999</v>
      </c>
      <c r="F94" s="178">
        <v>1889924.87</v>
      </c>
    </row>
    <row r="95" spans="2:6">
      <c r="B95" s="174"/>
      <c r="C95" s="175" t="s">
        <v>151</v>
      </c>
      <c r="D95" s="270">
        <v>5120144.9000000004</v>
      </c>
      <c r="E95" s="177">
        <v>5120144.9000000004</v>
      </c>
      <c r="F95" s="178">
        <v>182657</v>
      </c>
    </row>
    <row r="96" spans="2:6" ht="13.5" thickBot="1">
      <c r="B96" s="174"/>
      <c r="C96" s="175"/>
      <c r="D96" s="271">
        <f>SUM(D86:D95)</f>
        <v>83910247.390000015</v>
      </c>
      <c r="E96" s="172">
        <v>83910247.390000015</v>
      </c>
      <c r="F96" s="181">
        <f>SUM(F86:F95)</f>
        <v>145561551.28</v>
      </c>
    </row>
    <row r="97" spans="2:6" ht="13.5" thickTop="1">
      <c r="B97" s="174"/>
      <c r="C97" s="175"/>
      <c r="D97" s="270"/>
      <c r="E97" s="177"/>
      <c r="F97" s="178"/>
    </row>
    <row r="98" spans="2:6">
      <c r="B98" s="266" t="s">
        <v>308</v>
      </c>
      <c r="C98" s="341" t="s">
        <v>286</v>
      </c>
      <c r="D98" s="270"/>
      <c r="E98" s="177"/>
      <c r="F98" s="178"/>
    </row>
    <row r="99" spans="2:6">
      <c r="B99" s="174"/>
      <c r="C99" s="175" t="s">
        <v>27</v>
      </c>
      <c r="D99" s="270">
        <v>256707663.18000001</v>
      </c>
      <c r="E99" s="177">
        <v>256707663.18000001</v>
      </c>
      <c r="F99" s="178">
        <v>106379042.5</v>
      </c>
    </row>
    <row r="100" spans="2:6">
      <c r="B100" s="174"/>
      <c r="C100" s="175" t="s">
        <v>338</v>
      </c>
      <c r="D100" s="270">
        <v>1400531.45</v>
      </c>
      <c r="E100" s="177">
        <v>1400531.45</v>
      </c>
      <c r="F100" s="178">
        <v>2671643.4</v>
      </c>
    </row>
    <row r="101" spans="2:6" ht="13.5" thickBot="1">
      <c r="B101" s="174"/>
      <c r="C101" s="175"/>
      <c r="D101" s="271">
        <f>SUM(D99:D100)</f>
        <v>258108194.63</v>
      </c>
      <c r="E101" s="172">
        <v>258108194.63</v>
      </c>
      <c r="F101" s="181">
        <f>SUM(F99:F100)</f>
        <v>109050685.90000001</v>
      </c>
    </row>
    <row r="102" spans="2:6" ht="13.5" thickTop="1">
      <c r="B102" s="174"/>
      <c r="C102" s="175"/>
      <c r="D102" s="270"/>
      <c r="E102" s="177"/>
      <c r="F102" s="178"/>
    </row>
    <row r="103" spans="2:6">
      <c r="B103" s="266" t="s">
        <v>309</v>
      </c>
      <c r="C103" s="341" t="s">
        <v>310</v>
      </c>
      <c r="D103" s="270"/>
      <c r="E103" s="177"/>
      <c r="F103" s="178"/>
    </row>
    <row r="104" spans="2:6">
      <c r="B104" s="174"/>
      <c r="C104" s="175" t="s">
        <v>61</v>
      </c>
      <c r="D104" s="270"/>
      <c r="E104" s="177"/>
      <c r="F104" s="178"/>
    </row>
    <row r="105" spans="2:6">
      <c r="B105" s="174"/>
      <c r="C105" s="175" t="s">
        <v>23</v>
      </c>
      <c r="D105" s="270">
        <f>803775688.15+1847</f>
        <v>803777535.14999998</v>
      </c>
      <c r="E105" s="177">
        <v>803777535.14999998</v>
      </c>
      <c r="F105" s="178">
        <v>1526006671.8699999</v>
      </c>
    </row>
    <row r="106" spans="2:6">
      <c r="B106" s="174"/>
      <c r="C106" s="175" t="s">
        <v>24</v>
      </c>
      <c r="D106" s="270">
        <v>2609024914.9699998</v>
      </c>
      <c r="E106" s="177">
        <v>2609024914.9699998</v>
      </c>
      <c r="F106" s="178">
        <v>1651821306.3299999</v>
      </c>
    </row>
    <row r="107" spans="2:6">
      <c r="B107" s="174"/>
      <c r="C107" s="175"/>
      <c r="D107" s="270"/>
      <c r="E107" s="177"/>
      <c r="F107" s="178"/>
    </row>
    <row r="108" spans="2:6">
      <c r="B108" s="174"/>
      <c r="C108" s="175" t="s">
        <v>62</v>
      </c>
      <c r="D108" s="270"/>
      <c r="E108" s="177"/>
      <c r="F108" s="178"/>
    </row>
    <row r="109" spans="2:6">
      <c r="B109" s="174"/>
      <c r="C109" s="175" t="s">
        <v>25</v>
      </c>
      <c r="D109" s="270">
        <v>1872619905.5899999</v>
      </c>
      <c r="E109" s="177">
        <v>1872619905.5899999</v>
      </c>
      <c r="F109" s="178">
        <v>1619895750</v>
      </c>
    </row>
    <row r="110" spans="2:6">
      <c r="B110" s="174"/>
      <c r="C110" s="175" t="s">
        <v>26</v>
      </c>
      <c r="D110" s="270">
        <v>176782878</v>
      </c>
      <c r="E110" s="177">
        <v>176782878</v>
      </c>
      <c r="F110" s="178">
        <v>111844199</v>
      </c>
    </row>
    <row r="111" spans="2:6" ht="13.5" thickBot="1">
      <c r="B111" s="174"/>
      <c r="C111" s="175"/>
      <c r="D111" s="271">
        <f>SUM(D105:D110)</f>
        <v>5462205233.71</v>
      </c>
      <c r="E111" s="172">
        <v>5462205233.71</v>
      </c>
      <c r="F111" s="181">
        <f>SUM(F105:F110)</f>
        <v>4909567927.1999998</v>
      </c>
    </row>
    <row r="112" spans="2:6" ht="13.5" thickTop="1">
      <c r="B112" s="174"/>
      <c r="C112" s="175"/>
      <c r="D112" s="270"/>
      <c r="E112" s="177"/>
      <c r="F112" s="178"/>
    </row>
    <row r="113" spans="2:8">
      <c r="B113" s="266" t="s">
        <v>311</v>
      </c>
      <c r="C113" s="341" t="s">
        <v>69</v>
      </c>
      <c r="D113" s="270"/>
      <c r="E113" s="177"/>
      <c r="F113" s="178"/>
    </row>
    <row r="114" spans="2:8">
      <c r="B114" s="174"/>
      <c r="C114" s="175" t="s">
        <v>321</v>
      </c>
      <c r="D114" s="270"/>
      <c r="E114" s="177"/>
      <c r="F114" s="178"/>
    </row>
    <row r="115" spans="2:8" ht="13.5" thickBot="1">
      <c r="B115" s="174"/>
      <c r="C115" s="175" t="s">
        <v>322</v>
      </c>
      <c r="D115" s="271">
        <v>236400000</v>
      </c>
      <c r="E115" s="172">
        <v>236400000</v>
      </c>
      <c r="F115" s="181">
        <v>144000000</v>
      </c>
    </row>
    <row r="116" spans="2:8" ht="13.5" thickTop="1">
      <c r="B116" s="174"/>
      <c r="C116" s="175"/>
      <c r="D116" s="270"/>
      <c r="E116" s="177"/>
      <c r="F116" s="178"/>
    </row>
    <row r="117" spans="2:8">
      <c r="B117" s="174"/>
      <c r="C117" s="175"/>
      <c r="D117" s="270"/>
      <c r="E117" s="177"/>
      <c r="F117" s="178"/>
    </row>
    <row r="118" spans="2:8">
      <c r="B118" s="266" t="s">
        <v>312</v>
      </c>
      <c r="C118" s="341" t="s">
        <v>313</v>
      </c>
      <c r="D118" s="270"/>
      <c r="E118" s="177"/>
      <c r="F118" s="178"/>
    </row>
    <row r="119" spans="2:8">
      <c r="B119" s="174"/>
      <c r="C119" s="175" t="s">
        <v>314</v>
      </c>
      <c r="D119" s="270">
        <v>152593549.22</v>
      </c>
      <c r="E119" s="177">
        <v>152593549.22</v>
      </c>
      <c r="F119" s="178">
        <v>72984010.989999995</v>
      </c>
    </row>
    <row r="120" spans="2:8">
      <c r="B120" s="174"/>
      <c r="C120" s="175" t="s">
        <v>316</v>
      </c>
      <c r="D120" s="270">
        <v>15218362.33</v>
      </c>
      <c r="E120" s="177">
        <v>15218362.33</v>
      </c>
      <c r="F120" s="178">
        <v>3378621.59</v>
      </c>
    </row>
    <row r="121" spans="2:8">
      <c r="B121" s="174"/>
      <c r="C121" s="175" t="s">
        <v>315</v>
      </c>
      <c r="D121" s="270">
        <v>221332779.52000001</v>
      </c>
      <c r="E121" s="177">
        <v>221332779.52000001</v>
      </c>
      <c r="F121" s="178">
        <v>78277055.620000005</v>
      </c>
      <c r="H121" s="170"/>
    </row>
    <row r="122" spans="2:8" ht="13.5" thickBot="1">
      <c r="B122" s="174"/>
      <c r="C122" s="175"/>
      <c r="D122" s="271">
        <f>SUM(D119:D121)</f>
        <v>389144691.07000005</v>
      </c>
      <c r="E122" s="172">
        <v>389144691.07000005</v>
      </c>
      <c r="F122" s="181">
        <f>SUM(F119:F121)</f>
        <v>154639688.19999999</v>
      </c>
    </row>
    <row r="123" spans="2:8" ht="13.5" thickTop="1">
      <c r="B123" s="174"/>
      <c r="C123" s="175"/>
      <c r="D123" s="270"/>
      <c r="E123" s="177"/>
      <c r="F123" s="178"/>
    </row>
    <row r="124" spans="2:8">
      <c r="B124" s="266" t="s">
        <v>320</v>
      </c>
      <c r="C124" s="341" t="s">
        <v>294</v>
      </c>
      <c r="D124" s="270"/>
      <c r="E124" s="177"/>
      <c r="F124" s="178"/>
    </row>
    <row r="125" spans="2:8">
      <c r="B125" s="174"/>
      <c r="C125" s="175" t="s">
        <v>85</v>
      </c>
      <c r="D125" s="270">
        <f>2677070+1113505</f>
        <v>3790575</v>
      </c>
      <c r="E125" s="177">
        <v>3790575</v>
      </c>
      <c r="F125" s="178">
        <v>1779140</v>
      </c>
    </row>
    <row r="126" spans="2:8">
      <c r="B126" s="174"/>
      <c r="C126" s="175" t="s">
        <v>317</v>
      </c>
      <c r="D126" s="270">
        <v>40978965.020000003</v>
      </c>
      <c r="E126" s="177">
        <v>40978965.020000003</v>
      </c>
      <c r="F126" s="178">
        <v>35545675.140000001</v>
      </c>
    </row>
    <row r="127" spans="2:8">
      <c r="B127" s="174"/>
      <c r="C127" s="175" t="s">
        <v>318</v>
      </c>
      <c r="D127" s="270">
        <v>90829369</v>
      </c>
      <c r="E127" s="177">
        <v>90829369</v>
      </c>
      <c r="F127" s="178">
        <v>28501561.039999999</v>
      </c>
    </row>
    <row r="128" spans="2:8">
      <c r="B128" s="174"/>
      <c r="C128" s="175" t="s">
        <v>319</v>
      </c>
      <c r="D128" s="270">
        <v>0</v>
      </c>
      <c r="E128" s="177">
        <v>0</v>
      </c>
      <c r="F128" s="178">
        <v>18515978.170000002</v>
      </c>
    </row>
    <row r="129" spans="2:6" ht="13.5" thickBot="1">
      <c r="B129" s="174"/>
      <c r="C129" s="175"/>
      <c r="D129" s="271">
        <f>SUM(D125:D128)</f>
        <v>135598909.02000001</v>
      </c>
      <c r="E129" s="172">
        <v>135598909.02000001</v>
      </c>
      <c r="F129" s="181">
        <f>SUM(F125:F128)</f>
        <v>84342354.349999994</v>
      </c>
    </row>
    <row r="130" spans="2:6" ht="14.25" thickTop="1" thickBot="1">
      <c r="B130" s="182"/>
      <c r="C130" s="183"/>
      <c r="D130" s="274"/>
      <c r="E130" s="183"/>
      <c r="F130" s="185"/>
    </row>
  </sheetData>
  <customSheetViews>
    <customSheetView guid="{72AECFDF-D723-4070-8275-F05FB2F264F1}" fitToPage="1" topLeftCell="A53">
      <selection activeCell="D64" sqref="D64"/>
      <pageMargins left="0.7" right="0.7" top="0.75" bottom="0.75" header="0.3" footer="0.3"/>
      <pageSetup scale="94" orientation="portrait" r:id="rId1"/>
    </customSheetView>
    <customSheetView guid="{9A88D99D-9CFD-4D2A-BD86-16F4695A8B22}" fitToPage="1">
      <selection activeCell="C16" sqref="C16"/>
      <pageMargins left="0.7" right="0.7" top="0.75" bottom="0.75" header="0.3" footer="0.3"/>
      <pageSetup scale="94" orientation="portrait" r:id="rId2"/>
    </customSheetView>
  </customSheetViews>
  <mergeCells count="2">
    <mergeCell ref="B2:F2"/>
    <mergeCell ref="D3:F3"/>
  </mergeCells>
  <pageMargins left="0.7" right="0.7" top="0.75" bottom="0.75" header="0.3" footer="0.3"/>
  <pageSetup scale="94"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zoomScale="70" zoomScaleNormal="70" workbookViewId="0">
      <selection activeCell="D23" sqref="D23"/>
    </sheetView>
  </sheetViews>
  <sheetFormatPr defaultColWidth="26.42578125" defaultRowHeight="21"/>
  <cols>
    <col min="1" max="1" width="36.140625" style="3" customWidth="1"/>
    <col min="2" max="2" width="17.5703125" style="3" customWidth="1"/>
    <col min="3" max="3" width="26.42578125" style="15"/>
    <col min="4" max="4" width="7.7109375" style="3" customWidth="1"/>
    <col min="5" max="16384" width="26.42578125" style="3"/>
  </cols>
  <sheetData>
    <row r="2" spans="1:7">
      <c r="A2" s="637" t="s">
        <v>162</v>
      </c>
      <c r="B2" s="637"/>
      <c r="C2" s="637"/>
    </row>
    <row r="3" spans="1:7" ht="11.25" customHeight="1">
      <c r="A3" s="1"/>
      <c r="B3" s="1"/>
      <c r="C3" s="2"/>
    </row>
    <row r="4" spans="1:7">
      <c r="A4" s="637" t="s">
        <v>184</v>
      </c>
      <c r="B4" s="637"/>
      <c r="C4" s="637"/>
      <c r="E4" s="4"/>
    </row>
    <row r="5" spans="1:7" ht="15" customHeight="1">
      <c r="A5" s="636" t="s">
        <v>0</v>
      </c>
      <c r="B5" s="636" t="s">
        <v>1</v>
      </c>
      <c r="C5" s="635" t="s">
        <v>165</v>
      </c>
      <c r="D5" s="636"/>
      <c r="E5" s="635" t="s">
        <v>134</v>
      </c>
    </row>
    <row r="6" spans="1:7" ht="15" customHeight="1">
      <c r="A6" s="636"/>
      <c r="B6" s="636"/>
      <c r="C6" s="635"/>
      <c r="D6" s="636"/>
      <c r="E6" s="635"/>
    </row>
    <row r="7" spans="1:7">
      <c r="A7" s="5"/>
      <c r="B7" s="6"/>
      <c r="C7" s="7" t="s">
        <v>60</v>
      </c>
      <c r="E7" s="7" t="s">
        <v>60</v>
      </c>
      <c r="F7" s="8"/>
    </row>
    <row r="8" spans="1:7">
      <c r="A8" s="5" t="s">
        <v>2</v>
      </c>
      <c r="B8" s="6">
        <v>1</v>
      </c>
      <c r="C8" s="9">
        <f>Schedules!B9</f>
        <v>449712300</v>
      </c>
      <c r="E8" s="9">
        <f>Schedules!D9</f>
        <v>449392300</v>
      </c>
      <c r="F8" s="8"/>
      <c r="G8" s="8"/>
    </row>
    <row r="9" spans="1:7" ht="12.75" customHeight="1">
      <c r="A9" s="5"/>
      <c r="B9" s="6"/>
      <c r="C9" s="9"/>
      <c r="E9" s="9"/>
    </row>
    <row r="10" spans="1:7">
      <c r="A10" s="5" t="s">
        <v>66</v>
      </c>
      <c r="B10" s="6"/>
      <c r="C10" s="7">
        <f>Schedules!B13</f>
        <v>236400000</v>
      </c>
      <c r="E10" s="7">
        <f>Schedules!D13</f>
        <v>115200000</v>
      </c>
      <c r="F10" s="4"/>
      <c r="G10" s="4"/>
    </row>
    <row r="11" spans="1:7" ht="12" customHeight="1">
      <c r="A11" s="5"/>
      <c r="B11" s="6"/>
      <c r="C11" s="7"/>
      <c r="E11" s="7"/>
      <c r="F11" s="10"/>
    </row>
    <row r="12" spans="1:7" ht="19.5" customHeight="1">
      <c r="A12" s="5" t="s">
        <v>3</v>
      </c>
      <c r="B12" s="6">
        <v>2</v>
      </c>
      <c r="C12" s="11">
        <f>Schedules!C30</f>
        <v>250165642.68000001</v>
      </c>
      <c r="E12" s="11">
        <f>Schedules!E30</f>
        <v>186338160.32999998</v>
      </c>
      <c r="F12" s="4"/>
      <c r="G12" s="4"/>
    </row>
    <row r="13" spans="1:7" ht="12" customHeight="1">
      <c r="A13" s="5"/>
      <c r="B13" s="6"/>
      <c r="C13" s="7"/>
      <c r="E13" s="7"/>
    </row>
    <row r="14" spans="1:7">
      <c r="A14" s="5" t="s">
        <v>4</v>
      </c>
      <c r="B14" s="6">
        <v>3</v>
      </c>
      <c r="C14" s="7">
        <f>Schedules!C44</f>
        <v>5718912896.8900003</v>
      </c>
      <c r="E14" s="7">
        <f>Schedules!E44</f>
        <v>5145626117.4800005</v>
      </c>
      <c r="F14" s="10"/>
      <c r="G14" s="4"/>
    </row>
    <row r="15" spans="1:7" ht="9.75" customHeight="1">
      <c r="A15" s="5"/>
      <c r="B15" s="6"/>
      <c r="C15" s="9"/>
      <c r="E15" s="9"/>
    </row>
    <row r="16" spans="1:7">
      <c r="A16" s="5" t="s">
        <v>5</v>
      </c>
      <c r="B16" s="6">
        <v>4</v>
      </c>
      <c r="C16" s="9">
        <f>Schedules!B62</f>
        <v>606697342.12100005</v>
      </c>
      <c r="E16" s="9">
        <f>Schedules!D62</f>
        <v>389577048.21999997</v>
      </c>
      <c r="F16" s="4"/>
      <c r="G16" s="4"/>
    </row>
    <row r="17" spans="1:7">
      <c r="A17" s="5"/>
      <c r="B17" s="6"/>
      <c r="C17" s="9"/>
      <c r="E17" s="9"/>
      <c r="F17" s="4"/>
      <c r="G17" s="4"/>
    </row>
    <row r="18" spans="1:7" ht="21.75" thickBot="1">
      <c r="A18" s="5"/>
      <c r="B18" s="6"/>
      <c r="C18" s="12">
        <f>C8+C10+C12+C14+C16</f>
        <v>7261888181.6910009</v>
      </c>
      <c r="E18" s="13">
        <f>E8+E10+E12+E14+E16</f>
        <v>6286133626.0300007</v>
      </c>
      <c r="F18" s="8"/>
      <c r="G18" s="14"/>
    </row>
    <row r="19" spans="1:7" ht="18.75" customHeight="1">
      <c r="F19" s="4"/>
      <c r="G19" s="4"/>
    </row>
    <row r="20" spans="1:7" ht="10.5" customHeight="1">
      <c r="F20" s="10"/>
      <c r="G20" s="10"/>
    </row>
    <row r="21" spans="1:7" ht="22.5" customHeight="1">
      <c r="A21" s="16" t="s">
        <v>6</v>
      </c>
      <c r="B21" s="16"/>
      <c r="C21" s="9"/>
      <c r="D21" s="16"/>
      <c r="E21" s="9"/>
      <c r="F21" s="10"/>
      <c r="G21" s="10"/>
    </row>
    <row r="22" spans="1:7" ht="15" customHeight="1">
      <c r="A22" s="16"/>
      <c r="B22" s="16"/>
      <c r="C22" s="9"/>
      <c r="D22" s="16"/>
      <c r="E22" s="9"/>
      <c r="F22" s="8"/>
      <c r="G22" s="10"/>
    </row>
    <row r="23" spans="1:7">
      <c r="A23" s="17"/>
      <c r="B23" s="18"/>
      <c r="C23" s="7"/>
      <c r="F23" s="8"/>
    </row>
    <row r="24" spans="1:7">
      <c r="A24" s="17" t="s">
        <v>7</v>
      </c>
      <c r="B24" s="18">
        <v>5</v>
      </c>
      <c r="C24" s="9">
        <f>Schedules!C75</f>
        <v>2093873606.97</v>
      </c>
      <c r="E24" s="9">
        <f>Schedules!E75</f>
        <v>1412986099.8399999</v>
      </c>
      <c r="F24" s="8"/>
      <c r="G24" s="4"/>
    </row>
    <row r="25" spans="1:7" ht="13.5" customHeight="1">
      <c r="A25" s="17"/>
      <c r="B25" s="18"/>
      <c r="C25" s="9"/>
      <c r="E25" s="9"/>
      <c r="F25" s="8"/>
    </row>
    <row r="26" spans="1:7">
      <c r="A26" s="19" t="s">
        <v>8</v>
      </c>
      <c r="B26" s="20">
        <v>6</v>
      </c>
      <c r="C26" s="9">
        <f>Schedules!B84</f>
        <v>1121773704.24</v>
      </c>
      <c r="E26" s="9">
        <f>Schedules!D84</f>
        <v>821849967.97000003</v>
      </c>
      <c r="F26" s="4"/>
      <c r="G26" s="21"/>
    </row>
    <row r="27" spans="1:7" ht="14.25" customHeight="1">
      <c r="A27" s="17"/>
      <c r="B27" s="18"/>
      <c r="C27" s="9"/>
      <c r="E27" s="9"/>
      <c r="F27" s="10"/>
    </row>
    <row r="28" spans="1:7">
      <c r="A28" s="17" t="s">
        <v>65</v>
      </c>
      <c r="B28" s="18">
        <v>7</v>
      </c>
      <c r="C28" s="9">
        <f>Schedules!B94</f>
        <v>3917074167.1700001</v>
      </c>
      <c r="E28" s="9">
        <f>Schedules!D94</f>
        <v>3733750978.5799999</v>
      </c>
      <c r="F28" s="4"/>
      <c r="G28" s="8"/>
    </row>
    <row r="29" spans="1:7" ht="13.5" customHeight="1">
      <c r="A29" s="17"/>
      <c r="B29" s="18"/>
      <c r="C29" s="9"/>
      <c r="E29" s="9"/>
    </row>
    <row r="30" spans="1:7">
      <c r="A30" s="17" t="s">
        <v>9</v>
      </c>
      <c r="B30" s="18">
        <v>8</v>
      </c>
      <c r="C30" s="22">
        <f>Schedules!C115</f>
        <v>45256455.920000009</v>
      </c>
      <c r="E30" s="22">
        <f>Schedules!E115</f>
        <v>55027903.390000008</v>
      </c>
      <c r="F30" s="10"/>
    </row>
    <row r="31" spans="1:7" ht="14.25" customHeight="1">
      <c r="A31" s="17"/>
      <c r="B31" s="18"/>
      <c r="C31" s="22"/>
      <c r="E31" s="22"/>
    </row>
    <row r="32" spans="1:7">
      <c r="A32" s="17" t="s">
        <v>10</v>
      </c>
      <c r="B32" s="18">
        <v>9</v>
      </c>
      <c r="C32" s="9">
        <f>Schedules!B128</f>
        <v>83910247.390000015</v>
      </c>
      <c r="E32" s="9">
        <f>Schedules!D128</f>
        <v>262518676.25</v>
      </c>
      <c r="F32" s="10"/>
      <c r="G32" s="10"/>
    </row>
    <row r="33" spans="1:7">
      <c r="A33" s="17"/>
      <c r="B33" s="18"/>
      <c r="C33" s="9"/>
      <c r="E33" s="9"/>
      <c r="F33" s="10"/>
      <c r="G33" s="10"/>
    </row>
    <row r="34" spans="1:7" ht="21" customHeight="1" thickBot="1">
      <c r="A34" s="17"/>
      <c r="B34" s="18"/>
      <c r="C34" s="12">
        <f>C24+C26+C28+C30+C32+C35</f>
        <v>7261888181.6900005</v>
      </c>
      <c r="E34" s="12">
        <f>E24+E26+E28+E30+E32</f>
        <v>6286133626.0299997</v>
      </c>
      <c r="F34" s="4"/>
    </row>
    <row r="35" spans="1:7">
      <c r="A35" s="17"/>
      <c r="B35" s="18"/>
      <c r="C35" s="22"/>
      <c r="E35" s="22"/>
      <c r="F35" s="10"/>
    </row>
    <row r="36" spans="1:7" ht="17.25" customHeight="1">
      <c r="A36" s="17" t="s">
        <v>11</v>
      </c>
      <c r="B36" s="18">
        <v>10</v>
      </c>
      <c r="C36" s="9">
        <f>Schedules!B133</f>
        <v>1476502534.76</v>
      </c>
      <c r="E36" s="9">
        <f>Schedules!D133</f>
        <v>834780352.22000003</v>
      </c>
    </row>
    <row r="37" spans="1:7">
      <c r="A37" s="17"/>
      <c r="B37" s="18"/>
      <c r="C37" s="9"/>
    </row>
    <row r="38" spans="1:7" ht="14.25" customHeight="1">
      <c r="A38" s="17" t="s">
        <v>12</v>
      </c>
      <c r="B38" s="18">
        <v>17</v>
      </c>
      <c r="C38" s="7"/>
      <c r="F38" s="10"/>
    </row>
    <row r="39" spans="1:7">
      <c r="A39" s="23" t="s">
        <v>13</v>
      </c>
      <c r="B39" s="24">
        <v>18</v>
      </c>
      <c r="C39" s="25"/>
    </row>
    <row r="40" spans="1:7">
      <c r="A40" s="17"/>
      <c r="B40" s="17"/>
      <c r="C40" s="25"/>
      <c r="F40" s="8"/>
    </row>
    <row r="41" spans="1:7">
      <c r="A41" s="17" t="s">
        <v>14</v>
      </c>
      <c r="B41" s="17"/>
      <c r="C41" s="25"/>
    </row>
    <row r="42" spans="1:7">
      <c r="A42" s="17" t="s">
        <v>17</v>
      </c>
      <c r="B42" s="17"/>
      <c r="C42" s="25"/>
    </row>
    <row r="43" spans="1:7">
      <c r="A43" s="17"/>
      <c r="B43" s="17"/>
      <c r="C43" s="26"/>
      <c r="F43" s="10"/>
    </row>
    <row r="44" spans="1:7" ht="22.5" customHeight="1">
      <c r="A44" s="24"/>
      <c r="B44" s="24"/>
      <c r="C44" s="25"/>
    </row>
    <row r="45" spans="1:7" ht="14.25" customHeight="1">
      <c r="A45" s="17"/>
      <c r="B45" s="17"/>
      <c r="C45" s="25"/>
      <c r="F45" s="10"/>
    </row>
    <row r="46" spans="1:7">
      <c r="C46" s="25"/>
    </row>
    <row r="47" spans="1:7" ht="10.5" customHeight="1"/>
    <row r="49" spans="1:5" ht="18.75" customHeight="1">
      <c r="A49" s="17" t="s">
        <v>15</v>
      </c>
      <c r="C49" s="27" t="s">
        <v>16</v>
      </c>
      <c r="D49" s="28"/>
      <c r="E49" s="27" t="s">
        <v>124</v>
      </c>
    </row>
    <row r="50" spans="1:5">
      <c r="B50" s="17"/>
      <c r="C50" s="25"/>
    </row>
    <row r="51" spans="1:5">
      <c r="A51" s="29" t="s">
        <v>135</v>
      </c>
      <c r="C51" s="30"/>
    </row>
    <row r="52" spans="1:5">
      <c r="A52" s="29" t="s">
        <v>18</v>
      </c>
      <c r="C52" s="30"/>
    </row>
    <row r="53" spans="1:5" ht="19.5" customHeight="1">
      <c r="A53" s="29" t="s">
        <v>136</v>
      </c>
      <c r="C53" s="30"/>
    </row>
    <row r="54" spans="1:5">
      <c r="C54" s="30"/>
    </row>
    <row r="55" spans="1:5" ht="18" customHeight="1">
      <c r="C55" s="30"/>
    </row>
    <row r="56" spans="1:5">
      <c r="C56" s="30"/>
    </row>
    <row r="57" spans="1:5" ht="15" customHeight="1">
      <c r="C57" s="30"/>
    </row>
    <row r="58" spans="1:5">
      <c r="C58" s="7"/>
    </row>
    <row r="59" spans="1:5">
      <c r="A59" s="31" t="s">
        <v>137</v>
      </c>
    </row>
    <row r="60" spans="1:5">
      <c r="A60" s="32" t="s">
        <v>138</v>
      </c>
    </row>
    <row r="61" spans="1:5" ht="18" customHeight="1">
      <c r="A61" s="32" t="s">
        <v>139</v>
      </c>
    </row>
    <row r="62" spans="1:5" ht="21.75" customHeight="1"/>
    <row r="63" spans="1:5" ht="13.5" customHeight="1"/>
  </sheetData>
  <customSheetViews>
    <customSheetView guid="{72AECFDF-D723-4070-8275-F05FB2F264F1}" scale="70" state="hidden">
      <selection activeCell="D23" sqref="D23"/>
      <pageMargins left="0.7" right="0.7" top="0.75" bottom="0.75" header="0.3" footer="0.3"/>
      <pageSetup scale="60" orientation="portrait" r:id="rId1"/>
    </customSheetView>
    <customSheetView guid="{9A88D99D-9CFD-4D2A-BD86-16F4695A8B22}" scale="70" showPageBreaks="1" printArea="1" state="hidden">
      <selection activeCell="D23" sqref="D23"/>
      <pageMargins left="0.7" right="0.7" top="0.75" bottom="0.75" header="0.3" footer="0.3"/>
      <pageSetup scale="60" orientation="portrait" r:id="rId2"/>
    </customSheetView>
  </customSheetViews>
  <mergeCells count="7">
    <mergeCell ref="E5:E6"/>
    <mergeCell ref="D5:D6"/>
    <mergeCell ref="A2:C2"/>
    <mergeCell ref="A4:C4"/>
    <mergeCell ref="C5:C6"/>
    <mergeCell ref="B5:B6"/>
    <mergeCell ref="A5:A6"/>
  </mergeCells>
  <pageMargins left="0.7" right="0.7" top="0.75" bottom="0.75" header="0.3" footer="0.3"/>
  <pageSetup scale="6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4"/>
  <sheetViews>
    <sheetView topLeftCell="A7" zoomScale="70" zoomScaleNormal="70" workbookViewId="0">
      <selection activeCell="C20" sqref="C20"/>
    </sheetView>
  </sheetViews>
  <sheetFormatPr defaultColWidth="9.140625" defaultRowHeight="21"/>
  <cols>
    <col min="1" max="1" width="36.28515625" style="3" customWidth="1"/>
    <col min="2" max="2" width="16.7109375" style="3" customWidth="1"/>
    <col min="3" max="3" width="24.140625" style="3" customWidth="1"/>
    <col min="4" max="4" width="7.28515625" style="3" customWidth="1"/>
    <col min="5" max="5" width="26.85546875" style="3" customWidth="1"/>
    <col min="6" max="9" width="9.140625" style="3"/>
    <col min="10" max="10" width="23.42578125" style="3" customWidth="1"/>
    <col min="11" max="16384" width="9.140625" style="3"/>
  </cols>
  <sheetData>
    <row r="2" spans="1:10">
      <c r="A2" s="637" t="s">
        <v>163</v>
      </c>
      <c r="B2" s="637"/>
      <c r="C2" s="637"/>
      <c r="E2" s="4"/>
    </row>
    <row r="4" spans="1:10">
      <c r="A4" s="32" t="s">
        <v>164</v>
      </c>
      <c r="B4" s="31"/>
      <c r="C4" s="31"/>
      <c r="D4" s="31"/>
    </row>
    <row r="6" spans="1:10">
      <c r="A6" s="31"/>
      <c r="B6" s="31" t="s">
        <v>1</v>
      </c>
      <c r="C6" s="638" t="s">
        <v>166</v>
      </c>
      <c r="D6" s="636"/>
      <c r="E6" s="638" t="s">
        <v>147</v>
      </c>
      <c r="J6" s="10"/>
    </row>
    <row r="7" spans="1:10">
      <c r="A7" s="31"/>
      <c r="B7" s="31"/>
      <c r="C7" s="638"/>
      <c r="D7" s="636"/>
      <c r="E7" s="638"/>
      <c r="J7" s="8"/>
    </row>
    <row r="8" spans="1:10">
      <c r="A8" s="31" t="s">
        <v>52</v>
      </c>
      <c r="B8" s="31"/>
      <c r="C8" s="31"/>
      <c r="E8" s="4"/>
      <c r="J8" s="8"/>
    </row>
    <row r="9" spans="1:10">
      <c r="A9" s="31" t="s">
        <v>53</v>
      </c>
      <c r="B9" s="29">
        <v>11</v>
      </c>
      <c r="C9" s="21">
        <f>Schedules!B140</f>
        <v>470728742.01000005</v>
      </c>
      <c r="E9" s="21">
        <f>Schedules!D140</f>
        <v>457182836.94</v>
      </c>
      <c r="J9" s="8"/>
    </row>
    <row r="10" spans="1:10">
      <c r="A10" s="31" t="s">
        <v>54</v>
      </c>
      <c r="B10" s="29">
        <v>12</v>
      </c>
      <c r="C10" s="5">
        <f>Schedules!B154</f>
        <v>106973090.58999997</v>
      </c>
      <c r="E10" s="5">
        <f>Schedules!D154</f>
        <v>71272402.829999998</v>
      </c>
      <c r="J10" s="8"/>
    </row>
    <row r="11" spans="1:10" ht="21.75" thickBot="1">
      <c r="A11" s="31"/>
      <c r="B11" s="29"/>
      <c r="C11" s="87">
        <f>C9+C10</f>
        <v>577701832.60000002</v>
      </c>
      <c r="E11" s="13">
        <f>E9+E10</f>
        <v>528455239.76999998</v>
      </c>
      <c r="J11" s="4"/>
    </row>
    <row r="12" spans="1:10">
      <c r="A12" s="31"/>
      <c r="B12" s="29"/>
      <c r="C12" s="113"/>
      <c r="E12" s="21"/>
      <c r="J12" s="4">
        <f>C11-E11</f>
        <v>49246592.830000043</v>
      </c>
    </row>
    <row r="13" spans="1:10">
      <c r="A13" s="31" t="s">
        <v>55</v>
      </c>
      <c r="B13" s="29"/>
      <c r="C13" s="113"/>
      <c r="E13" s="21"/>
      <c r="J13" s="4">
        <f>C14+C15-E14-E15</f>
        <v>42083661.829999983</v>
      </c>
    </row>
    <row r="14" spans="1:10">
      <c r="A14" s="31" t="s">
        <v>56</v>
      </c>
      <c r="B14" s="29">
        <v>13</v>
      </c>
      <c r="C14" s="113">
        <f>Schedules!B160</f>
        <v>276735343.63999999</v>
      </c>
      <c r="E14" s="113">
        <f>Schedules!D160</f>
        <v>238086881.46000001</v>
      </c>
      <c r="J14" s="4"/>
    </row>
    <row r="15" spans="1:10">
      <c r="A15" s="31" t="s">
        <v>57</v>
      </c>
      <c r="B15" s="29">
        <v>14</v>
      </c>
      <c r="C15" s="113">
        <f>Schedules!B179</f>
        <v>126482821.94000001</v>
      </c>
      <c r="E15" s="113">
        <f>Schedules!D179</f>
        <v>123047622.28999999</v>
      </c>
      <c r="J15" s="4"/>
    </row>
    <row r="16" spans="1:10">
      <c r="A16" s="31" t="s">
        <v>93</v>
      </c>
      <c r="B16" s="29"/>
      <c r="C16" s="113"/>
      <c r="E16" s="113"/>
    </row>
    <row r="17" spans="1:10">
      <c r="A17" s="31" t="s">
        <v>58</v>
      </c>
      <c r="B17" s="29">
        <v>15</v>
      </c>
      <c r="C17" s="113">
        <v>26304467.25</v>
      </c>
      <c r="E17" s="113">
        <f>Schedules!D188</f>
        <v>22940652.43</v>
      </c>
      <c r="J17" s="8"/>
    </row>
    <row r="18" spans="1:10" ht="21.75" thickBot="1">
      <c r="A18" s="31"/>
      <c r="B18" s="29"/>
      <c r="C18" s="87">
        <f>C14+C15+C16+C17</f>
        <v>429522632.82999998</v>
      </c>
      <c r="E18" s="121">
        <f>E14+E15+E17+E16</f>
        <v>384075156.18000001</v>
      </c>
      <c r="J18" s="4"/>
    </row>
    <row r="19" spans="1:10">
      <c r="A19" s="31"/>
      <c r="B19" s="29"/>
      <c r="C19" s="113"/>
      <c r="E19" s="122"/>
      <c r="J19" s="4"/>
    </row>
    <row r="20" spans="1:10">
      <c r="A20" s="31" t="s">
        <v>84</v>
      </c>
      <c r="B20" s="29"/>
      <c r="C20" s="113">
        <f>C11-C18</f>
        <v>148179199.77000004</v>
      </c>
      <c r="E20" s="113">
        <f>E11-E18</f>
        <v>144380083.58999997</v>
      </c>
      <c r="J20" s="55"/>
    </row>
    <row r="21" spans="1:10">
      <c r="A21" s="31" t="s">
        <v>82</v>
      </c>
      <c r="B21" s="29">
        <v>16</v>
      </c>
      <c r="C21" s="56">
        <f>Schedules!B194</f>
        <v>48374733.421000011</v>
      </c>
      <c r="E21" s="56">
        <f>Schedules!D194</f>
        <v>47283476.189999998</v>
      </c>
    </row>
    <row r="22" spans="1:10">
      <c r="J22" s="4"/>
    </row>
    <row r="23" spans="1:10" ht="21.75" thickBot="1">
      <c r="A23" s="31"/>
      <c r="C23" s="13">
        <f>C20-C21</f>
        <v>99804466.349000037</v>
      </c>
      <c r="E23" s="13">
        <f>E20-E21</f>
        <v>97096607.399999976</v>
      </c>
    </row>
    <row r="25" spans="1:10">
      <c r="A25" s="31"/>
      <c r="C25" s="56"/>
      <c r="E25" s="56"/>
    </row>
    <row r="26" spans="1:10">
      <c r="A26" s="31"/>
      <c r="C26" s="8"/>
      <c r="D26" s="51"/>
      <c r="E26" s="51"/>
    </row>
    <row r="27" spans="1:10">
      <c r="C27" s="4"/>
      <c r="E27" s="4"/>
    </row>
    <row r="28" spans="1:10">
      <c r="C28" s="10"/>
      <c r="E28" s="10"/>
    </row>
    <row r="29" spans="1:10">
      <c r="A29" s="17" t="s">
        <v>12</v>
      </c>
      <c r="B29" s="18">
        <v>17</v>
      </c>
      <c r="C29" s="34"/>
      <c r="E29" s="55"/>
      <c r="J29" s="133"/>
    </row>
    <row r="30" spans="1:10">
      <c r="A30" s="40"/>
      <c r="B30" s="83"/>
      <c r="C30" s="10"/>
      <c r="E30" s="10"/>
    </row>
    <row r="31" spans="1:10">
      <c r="A31" s="23" t="s">
        <v>13</v>
      </c>
      <c r="B31" s="24">
        <v>18</v>
      </c>
      <c r="C31" s="51"/>
      <c r="E31" s="4"/>
    </row>
    <row r="32" spans="1:10">
      <c r="A32" s="17"/>
      <c r="B32" s="17"/>
      <c r="C32" s="17"/>
      <c r="E32" s="4"/>
    </row>
    <row r="33" spans="1:5">
      <c r="A33" s="17" t="s">
        <v>59</v>
      </c>
      <c r="B33" s="17"/>
      <c r="C33" s="17"/>
    </row>
    <row r="34" spans="1:5">
      <c r="A34" s="17" t="s">
        <v>17</v>
      </c>
      <c r="B34" s="17"/>
      <c r="C34" s="17"/>
      <c r="E34" s="4"/>
    </row>
    <row r="35" spans="1:5">
      <c r="A35" s="17"/>
      <c r="B35" s="17"/>
      <c r="C35" s="17"/>
      <c r="E35" s="4"/>
    </row>
    <row r="36" spans="1:5">
      <c r="A36" s="24"/>
      <c r="B36" s="24"/>
      <c r="C36" s="24"/>
      <c r="E36" s="4"/>
    </row>
    <row r="37" spans="1:5">
      <c r="A37" s="17"/>
      <c r="B37" s="17"/>
      <c r="C37" s="17"/>
      <c r="E37" s="10"/>
    </row>
    <row r="38" spans="1:5">
      <c r="C38" s="17"/>
      <c r="E38" s="10"/>
    </row>
    <row r="41" spans="1:5">
      <c r="A41" s="17" t="s">
        <v>15</v>
      </c>
      <c r="C41" s="27" t="s">
        <v>16</v>
      </c>
      <c r="D41" s="24" t="s">
        <v>125</v>
      </c>
    </row>
    <row r="42" spans="1:5">
      <c r="B42" s="17"/>
      <c r="C42" s="17"/>
    </row>
    <row r="43" spans="1:5">
      <c r="A43" s="35"/>
      <c r="B43" s="35"/>
      <c r="C43" s="35"/>
    </row>
    <row r="44" spans="1:5">
      <c r="A44" s="29" t="s">
        <v>135</v>
      </c>
      <c r="B44" s="35"/>
      <c r="C44" s="35"/>
    </row>
    <row r="45" spans="1:5">
      <c r="A45" s="29" t="s">
        <v>18</v>
      </c>
      <c r="B45" s="35"/>
      <c r="C45" s="123"/>
    </row>
    <row r="46" spans="1:5">
      <c r="A46" s="29" t="s">
        <v>136</v>
      </c>
      <c r="B46" s="35"/>
      <c r="C46" s="123"/>
    </row>
    <row r="47" spans="1:5">
      <c r="B47" s="35"/>
      <c r="C47" s="35"/>
    </row>
    <row r="48" spans="1:5">
      <c r="B48" s="35"/>
      <c r="C48" s="35"/>
    </row>
    <row r="49" spans="1:3">
      <c r="B49" s="35"/>
      <c r="C49" s="35"/>
    </row>
    <row r="50" spans="1:3">
      <c r="B50" s="17"/>
      <c r="C50" s="34"/>
    </row>
    <row r="52" spans="1:3">
      <c r="A52" s="31" t="s">
        <v>137</v>
      </c>
    </row>
    <row r="53" spans="1:3">
      <c r="A53" s="32" t="s">
        <v>138</v>
      </c>
    </row>
    <row r="54" spans="1:3">
      <c r="A54" s="32" t="s">
        <v>139</v>
      </c>
    </row>
  </sheetData>
  <customSheetViews>
    <customSheetView guid="{72AECFDF-D723-4070-8275-F05FB2F264F1}" scale="70" state="hidden" topLeftCell="A7">
      <selection activeCell="C20" sqref="C20"/>
      <pageMargins left="0.7" right="0.7" top="0.75" bottom="0.75" header="0.3" footer="0.3"/>
      <pageSetup scale="60" orientation="portrait" cellComments="asDisplayed" r:id="rId1"/>
    </customSheetView>
    <customSheetView guid="{9A88D99D-9CFD-4D2A-BD86-16F4695A8B22}" scale="70" showPageBreaks="1" printArea="1" state="hidden" topLeftCell="A7">
      <selection activeCell="C20" sqref="C20"/>
      <pageMargins left="0.7" right="0.7" top="0.75" bottom="0.75" header="0.3" footer="0.3"/>
      <pageSetup scale="60" orientation="portrait" cellComments="asDisplayed" r:id="rId2"/>
    </customSheetView>
  </customSheetViews>
  <mergeCells count="4">
    <mergeCell ref="A2:C2"/>
    <mergeCell ref="C6:C7"/>
    <mergeCell ref="D6:D7"/>
    <mergeCell ref="E6:E7"/>
  </mergeCells>
  <pageMargins left="0.7" right="0.7" top="0.75" bottom="0.75" header="0.3" footer="0.3"/>
  <pageSetup scale="60" orientation="portrait" cellComments="asDisplayed"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5"/>
  <sheetViews>
    <sheetView topLeftCell="A41" zoomScale="70" zoomScaleNormal="70" workbookViewId="0">
      <selection activeCell="G66" sqref="G66"/>
    </sheetView>
  </sheetViews>
  <sheetFormatPr defaultColWidth="9.140625" defaultRowHeight="21"/>
  <cols>
    <col min="1" max="1" width="51.5703125" style="3" customWidth="1"/>
    <col min="2" max="2" width="26" style="3" customWidth="1"/>
    <col min="3" max="3" width="28.7109375" style="3" customWidth="1"/>
    <col min="4" max="4" width="28.140625" style="3" customWidth="1"/>
    <col min="5" max="5" width="27.42578125" style="3" customWidth="1"/>
    <col min="6" max="6" width="6.42578125" style="3" customWidth="1"/>
    <col min="7" max="7" width="26.28515625" style="3" customWidth="1"/>
    <col min="8" max="8" width="24" style="3" customWidth="1"/>
    <col min="9" max="9" width="28.42578125" style="3" customWidth="1"/>
    <col min="10" max="16384" width="9.140625" style="3"/>
  </cols>
  <sheetData>
    <row r="2" spans="1:7">
      <c r="B2" s="29" t="s">
        <v>165</v>
      </c>
      <c r="D2" s="29" t="s">
        <v>134</v>
      </c>
    </row>
    <row r="3" spans="1:7">
      <c r="A3" s="33" t="s">
        <v>19</v>
      </c>
      <c r="B3" s="17"/>
      <c r="D3" s="34"/>
      <c r="E3" s="35"/>
    </row>
    <row r="4" spans="1:7">
      <c r="A4" s="17" t="s">
        <v>67</v>
      </c>
      <c r="B4" s="17"/>
      <c r="D4" s="36"/>
      <c r="E4" s="35"/>
      <c r="G4" s="37"/>
    </row>
    <row r="5" spans="1:7" ht="25.5">
      <c r="A5" s="35" t="s">
        <v>20</v>
      </c>
      <c r="B5" s="38">
        <v>1000000000</v>
      </c>
      <c r="D5" s="38">
        <v>1000000000</v>
      </c>
    </row>
    <row r="6" spans="1:7">
      <c r="A6" s="35" t="s">
        <v>179</v>
      </c>
      <c r="B6" s="39"/>
      <c r="D6" s="31"/>
    </row>
    <row r="7" spans="1:7">
      <c r="A7" s="35"/>
      <c r="B7" s="39"/>
      <c r="D7" s="31"/>
    </row>
    <row r="8" spans="1:7">
      <c r="A8" s="35" t="s">
        <v>21</v>
      </c>
      <c r="B8" s="39"/>
      <c r="C8" s="8"/>
      <c r="D8" s="31"/>
      <c r="E8" s="8"/>
    </row>
    <row r="9" spans="1:7" ht="21.75" thickBot="1">
      <c r="A9" s="40" t="s">
        <v>180</v>
      </c>
      <c r="B9" s="41">
        <v>449712300</v>
      </c>
      <c r="D9" s="41">
        <v>449392300</v>
      </c>
      <c r="E9" s="8"/>
      <c r="G9" s="4"/>
    </row>
    <row r="10" spans="1:7" ht="25.5">
      <c r="A10" s="42"/>
      <c r="B10" s="38"/>
      <c r="D10" s="38"/>
      <c r="E10" s="8"/>
    </row>
    <row r="11" spans="1:7">
      <c r="A11" s="42"/>
      <c r="E11" s="8"/>
    </row>
    <row r="12" spans="1:7" ht="25.5">
      <c r="A12" s="42" t="s">
        <v>68</v>
      </c>
      <c r="B12" s="38"/>
      <c r="C12" s="31"/>
      <c r="D12" s="35"/>
      <c r="E12" s="4"/>
      <c r="G12" s="10"/>
    </row>
    <row r="13" spans="1:7" ht="25.5">
      <c r="A13" s="42" t="s">
        <v>69</v>
      </c>
      <c r="B13" s="38">
        <v>236400000</v>
      </c>
      <c r="C13" s="43"/>
      <c r="D13" s="38">
        <v>115200000</v>
      </c>
      <c r="E13" s="10"/>
    </row>
    <row r="14" spans="1:7" ht="25.5">
      <c r="A14" s="42" t="s">
        <v>178</v>
      </c>
      <c r="B14" s="38"/>
      <c r="C14" s="43"/>
    </row>
    <row r="15" spans="1:7">
      <c r="A15" s="44"/>
      <c r="B15" s="36"/>
      <c r="C15" s="31"/>
      <c r="D15" s="35"/>
      <c r="G15" s="10"/>
    </row>
    <row r="16" spans="1:7">
      <c r="A16" s="45" t="s">
        <v>74</v>
      </c>
      <c r="B16" s="36"/>
      <c r="C16" s="31"/>
      <c r="D16" s="35"/>
      <c r="E16" s="4"/>
    </row>
    <row r="17" spans="1:8">
      <c r="A17" s="42"/>
      <c r="B17" s="46"/>
      <c r="C17" s="21"/>
      <c r="D17" s="47"/>
      <c r="E17" s="48"/>
    </row>
    <row r="18" spans="1:8">
      <c r="A18" s="42" t="s">
        <v>98</v>
      </c>
      <c r="B18" s="49">
        <v>28150800</v>
      </c>
      <c r="C18" s="50">
        <f>B18</f>
        <v>28150800</v>
      </c>
      <c r="D18" s="49">
        <v>28150800</v>
      </c>
      <c r="E18" s="50">
        <f>D18</f>
        <v>28150800</v>
      </c>
      <c r="G18" s="10"/>
      <c r="H18" s="134"/>
    </row>
    <row r="19" spans="1:8">
      <c r="A19" s="42"/>
      <c r="B19" s="39"/>
      <c r="C19" s="50"/>
      <c r="D19" s="39"/>
      <c r="E19" s="4"/>
      <c r="G19" s="51"/>
      <c r="H19" s="134"/>
    </row>
    <row r="20" spans="1:8">
      <c r="A20" s="42" t="s">
        <v>127</v>
      </c>
      <c r="B20" s="39">
        <f>124319825.01+49212782.72</f>
        <v>173532607.73000002</v>
      </c>
      <c r="C20" s="50"/>
      <c r="D20" s="39">
        <v>76501627.019999996</v>
      </c>
      <c r="E20" s="4"/>
      <c r="G20" s="8"/>
      <c r="H20" s="10"/>
    </row>
    <row r="21" spans="1:8" ht="21.75" thickBot="1">
      <c r="A21" s="42" t="s">
        <v>128</v>
      </c>
      <c r="B21" s="52"/>
      <c r="D21" s="52">
        <v>47818197.990000002</v>
      </c>
      <c r="G21" s="8"/>
      <c r="H21" s="10"/>
    </row>
    <row r="22" spans="1:8">
      <c r="A22" s="42" t="s">
        <v>129</v>
      </c>
      <c r="B22" s="39">
        <f>B20+B21</f>
        <v>173532607.73000002</v>
      </c>
      <c r="C22" s="50">
        <f>B22</f>
        <v>173532607.73000002</v>
      </c>
      <c r="D22" s="53"/>
      <c r="E22" s="21">
        <f>D20+D21</f>
        <v>124319825.00999999</v>
      </c>
      <c r="G22" s="4"/>
    </row>
    <row r="23" spans="1:8">
      <c r="A23" s="42"/>
      <c r="B23" s="39"/>
      <c r="C23" s="31"/>
      <c r="D23" s="53"/>
      <c r="E23" s="10"/>
      <c r="G23" s="4"/>
    </row>
    <row r="24" spans="1:8">
      <c r="A24" s="54" t="s">
        <v>133</v>
      </c>
      <c r="B24" s="39">
        <v>1628250.43</v>
      </c>
      <c r="C24" s="21">
        <f>168039+1460211.43+1378900.92</f>
        <v>3007151.3499999996</v>
      </c>
      <c r="D24" s="39">
        <v>168039</v>
      </c>
      <c r="E24" s="21">
        <f>168039+1460211.43</f>
        <v>1628250.43</v>
      </c>
      <c r="G24" s="4"/>
    </row>
    <row r="25" spans="1:8">
      <c r="C25" s="50"/>
      <c r="D25" s="55">
        <v>0</v>
      </c>
      <c r="G25" s="10"/>
    </row>
    <row r="26" spans="1:8">
      <c r="A26" s="42" t="s">
        <v>130</v>
      </c>
      <c r="B26" s="39">
        <f>'P&amp;L'!C23-1378900.92</f>
        <v>98425565.429000035</v>
      </c>
      <c r="C26" s="43"/>
      <c r="D26" s="39">
        <f>'P&amp;L'!E23</f>
        <v>97096607.399999976</v>
      </c>
      <c r="E26" s="31"/>
      <c r="G26" s="10"/>
    </row>
    <row r="27" spans="1:8">
      <c r="A27" s="42" t="s">
        <v>131</v>
      </c>
      <c r="B27" s="39">
        <v>49212782.719999999</v>
      </c>
      <c r="C27" s="21"/>
      <c r="D27" s="39">
        <v>47818197.990000002</v>
      </c>
      <c r="E27" s="21"/>
      <c r="G27" s="4"/>
    </row>
    <row r="28" spans="1:8">
      <c r="A28" s="42" t="s">
        <v>132</v>
      </c>
      <c r="B28" s="39">
        <v>35976984</v>
      </c>
      <c r="C28" s="56"/>
      <c r="D28" s="39">
        <v>31457461</v>
      </c>
      <c r="E28" s="56"/>
      <c r="G28" s="4"/>
    </row>
    <row r="29" spans="1:8">
      <c r="A29" s="42" t="s">
        <v>129</v>
      </c>
      <c r="B29" s="39">
        <v>13235798.710000001</v>
      </c>
      <c r="C29" s="56">
        <v>45475083.600000001</v>
      </c>
      <c r="D29" s="39">
        <v>16360736.99</v>
      </c>
      <c r="E29" s="56">
        <v>32239284.890000001</v>
      </c>
      <c r="G29" s="4"/>
    </row>
    <row r="30" spans="1:8" ht="21.75" thickBot="1">
      <c r="A30" s="42" t="s">
        <v>22</v>
      </c>
      <c r="B30" s="39"/>
      <c r="C30" s="13">
        <f>C18+C22+C24+C26+C29</f>
        <v>250165642.68000001</v>
      </c>
      <c r="D30" s="51"/>
      <c r="E30" s="13">
        <f>E18+E22+E24+E29</f>
        <v>186338160.32999998</v>
      </c>
      <c r="G30" s="57"/>
      <c r="H30" s="10"/>
    </row>
    <row r="31" spans="1:8">
      <c r="A31" s="17"/>
      <c r="B31" s="39"/>
      <c r="D31" s="35"/>
      <c r="E31" s="4"/>
      <c r="G31" s="57"/>
    </row>
    <row r="32" spans="1:8">
      <c r="A32" s="45" t="s">
        <v>75</v>
      </c>
      <c r="B32" s="58"/>
      <c r="C32" s="50"/>
      <c r="D32" s="85"/>
      <c r="E32" s="4"/>
      <c r="G32" s="4"/>
    </row>
    <row r="33" spans="1:8">
      <c r="A33" s="35" t="s">
        <v>61</v>
      </c>
      <c r="B33" s="36"/>
      <c r="C33" s="59"/>
      <c r="D33" s="35"/>
      <c r="E33" s="4"/>
      <c r="G33" s="4"/>
    </row>
    <row r="34" spans="1:8">
      <c r="A34" s="146" t="s">
        <v>23</v>
      </c>
      <c r="B34" s="156">
        <f>803775688.15+1847</f>
        <v>803777535.14999998</v>
      </c>
      <c r="C34" s="157"/>
      <c r="D34" s="153">
        <v>554012926.46000004</v>
      </c>
      <c r="E34" s="157"/>
      <c r="G34" s="57"/>
    </row>
    <row r="35" spans="1:8">
      <c r="A35" s="146" t="s">
        <v>24</v>
      </c>
      <c r="B35" s="153">
        <v>2609024914.9699998</v>
      </c>
      <c r="C35" s="158">
        <f>B34+B35</f>
        <v>3412802450.1199999</v>
      </c>
      <c r="D35" s="153">
        <v>2230718893.9000001</v>
      </c>
      <c r="E35" s="158">
        <f>D34+D35</f>
        <v>2784731820.3600001</v>
      </c>
    </row>
    <row r="36" spans="1:8">
      <c r="A36" s="146"/>
      <c r="B36" s="159"/>
      <c r="C36" s="157"/>
      <c r="D36" s="148"/>
      <c r="E36" s="147"/>
    </row>
    <row r="37" spans="1:8">
      <c r="A37" s="146" t="s">
        <v>62</v>
      </c>
      <c r="B37" s="153"/>
      <c r="C37" s="158"/>
      <c r="D37" s="148"/>
      <c r="E37" s="147"/>
      <c r="G37" s="3" t="s">
        <v>174</v>
      </c>
      <c r="H37" s="4">
        <f>167381827.06+23433038.55+32816552.65+5130106.99+5636442.6</f>
        <v>234397967.85000002</v>
      </c>
    </row>
    <row r="38" spans="1:8">
      <c r="A38" s="146" t="s">
        <v>25</v>
      </c>
      <c r="B38" s="153">
        <v>1872619905.5899999</v>
      </c>
      <c r="C38" s="158"/>
      <c r="D38" s="153">
        <v>2114256904</v>
      </c>
      <c r="E38" s="158"/>
      <c r="G38" s="3" t="s">
        <v>175</v>
      </c>
      <c r="H38" s="4">
        <f>13490856.66+3579.78+957673.48</f>
        <v>14452109.92</v>
      </c>
    </row>
    <row r="39" spans="1:8">
      <c r="A39" s="160" t="s">
        <v>26</v>
      </c>
      <c r="B39" s="153">
        <v>176782878</v>
      </c>
      <c r="C39" s="158">
        <f>B38+B39</f>
        <v>2049402783.5899999</v>
      </c>
      <c r="D39" s="153">
        <v>149096853</v>
      </c>
      <c r="E39" s="158">
        <f>D38+D39</f>
        <v>2263353757</v>
      </c>
      <c r="G39" s="3" t="s">
        <v>176</v>
      </c>
      <c r="H39" s="4">
        <f>9344.19</f>
        <v>9344.19</v>
      </c>
    </row>
    <row r="40" spans="1:8">
      <c r="A40" s="146"/>
      <c r="B40" s="159"/>
      <c r="C40" s="161"/>
      <c r="D40" s="148"/>
      <c r="E40" s="162"/>
      <c r="G40" s="3" t="s">
        <v>177</v>
      </c>
      <c r="H40" s="4">
        <f>1126384.3+5336750.92+1385106</f>
        <v>7848241.2199999997</v>
      </c>
    </row>
    <row r="41" spans="1:8">
      <c r="A41" s="146"/>
      <c r="B41" s="159"/>
      <c r="C41" s="161"/>
      <c r="D41" s="148"/>
      <c r="E41" s="162"/>
      <c r="H41" s="4">
        <f>SUM(H37:H40)</f>
        <v>256707663.18000001</v>
      </c>
    </row>
    <row r="42" spans="1:8">
      <c r="A42" s="146" t="s">
        <v>63</v>
      </c>
      <c r="B42" s="153"/>
      <c r="C42" s="139"/>
      <c r="D42" s="147"/>
      <c r="E42" s="162"/>
      <c r="G42" s="4"/>
    </row>
    <row r="43" spans="1:8">
      <c r="A43" s="146" t="s">
        <v>27</v>
      </c>
      <c r="B43" s="153">
        <v>256707663.18000001</v>
      </c>
      <c r="C43" s="154">
        <f>B43</f>
        <v>256707663.18000001</v>
      </c>
      <c r="D43" s="153">
        <v>97540540.120000005</v>
      </c>
      <c r="E43" s="154">
        <f>D43</f>
        <v>97540540.120000005</v>
      </c>
      <c r="G43" s="4"/>
    </row>
    <row r="44" spans="1:8" ht="21.75" thickBot="1">
      <c r="A44" s="35" t="s">
        <v>22</v>
      </c>
      <c r="B44" s="60"/>
      <c r="C44" s="62">
        <f>C35+C39+C43</f>
        <v>5718912896.8900003</v>
      </c>
      <c r="E44" s="13">
        <f>E35+E39+E43</f>
        <v>5145626117.4800005</v>
      </c>
    </row>
    <row r="45" spans="1:8">
      <c r="A45" s="35"/>
      <c r="B45" s="36"/>
      <c r="E45" s="4"/>
      <c r="H45" s="4"/>
    </row>
    <row r="46" spans="1:8">
      <c r="A46" s="35"/>
      <c r="B46" s="39"/>
      <c r="C46" s="34"/>
      <c r="D46" s="35"/>
      <c r="E46" s="4"/>
      <c r="G46" s="8"/>
      <c r="H46" s="4"/>
    </row>
    <row r="47" spans="1:8">
      <c r="A47" s="33" t="s">
        <v>76</v>
      </c>
      <c r="B47" s="36"/>
      <c r="C47" s="17"/>
      <c r="D47" s="35"/>
      <c r="E47" s="4"/>
      <c r="G47" s="8"/>
      <c r="H47" s="4"/>
    </row>
    <row r="48" spans="1:8">
      <c r="A48" s="42" t="s">
        <v>28</v>
      </c>
      <c r="B48" s="145">
        <v>37236625.549999997</v>
      </c>
      <c r="C48" s="63"/>
      <c r="D48" s="145">
        <v>30126361.079999998</v>
      </c>
      <c r="E48" s="4"/>
      <c r="G48" s="4"/>
      <c r="H48" s="4"/>
    </row>
    <row r="49" spans="1:9">
      <c r="A49" s="42" t="s">
        <v>70</v>
      </c>
      <c r="B49" s="145">
        <v>152593549.22</v>
      </c>
      <c r="C49" s="155"/>
      <c r="D49" s="145">
        <v>110414463.58</v>
      </c>
      <c r="E49" s="4"/>
      <c r="G49" s="4"/>
      <c r="H49" s="10"/>
    </row>
    <row r="50" spans="1:9">
      <c r="A50" s="146" t="s">
        <v>71</v>
      </c>
      <c r="B50" s="145">
        <v>1400531.45</v>
      </c>
      <c r="C50" s="155"/>
      <c r="D50" s="145">
        <v>2410887.3199999998</v>
      </c>
      <c r="E50" s="21"/>
      <c r="G50" s="8"/>
    </row>
    <row r="51" spans="1:9">
      <c r="A51" s="35" t="s">
        <v>85</v>
      </c>
      <c r="B51" s="145">
        <f>2677070+1113505</f>
        <v>3790575</v>
      </c>
      <c r="C51" s="137"/>
      <c r="D51" s="145">
        <v>2677070</v>
      </c>
      <c r="E51" s="4"/>
      <c r="F51" s="64"/>
      <c r="G51" s="65" t="s">
        <v>169</v>
      </c>
      <c r="H51" s="66" t="s">
        <v>170</v>
      </c>
      <c r="I51" s="65" t="s">
        <v>171</v>
      </c>
    </row>
    <row r="52" spans="1:9">
      <c r="A52" s="42" t="s">
        <v>86</v>
      </c>
      <c r="B52" s="153">
        <v>40978965.020000003</v>
      </c>
      <c r="C52" s="163"/>
      <c r="D52" s="153">
        <f>38327332.07-67120.79</f>
        <v>38260211.280000001</v>
      </c>
      <c r="E52" s="10"/>
      <c r="F52" s="65" t="s">
        <v>167</v>
      </c>
      <c r="G52" s="68">
        <v>38260211.280000001</v>
      </c>
      <c r="H52" s="69">
        <v>40978965.020000003</v>
      </c>
      <c r="I52" s="70">
        <f>H52-G52</f>
        <v>2718753.7400000021</v>
      </c>
    </row>
    <row r="53" spans="1:9" hidden="1">
      <c r="A53" s="35"/>
      <c r="B53" s="153"/>
      <c r="C53" s="164"/>
      <c r="D53" s="153"/>
      <c r="E53" s="4"/>
      <c r="F53" s="65"/>
      <c r="G53" s="64"/>
      <c r="H53" s="64"/>
      <c r="I53" s="64"/>
    </row>
    <row r="54" spans="1:9" hidden="1">
      <c r="A54" s="35"/>
      <c r="B54" s="153"/>
      <c r="C54" s="165"/>
      <c r="D54" s="153"/>
      <c r="E54" s="4"/>
      <c r="F54" s="65"/>
      <c r="G54" s="64"/>
      <c r="H54" s="64"/>
      <c r="I54" s="64"/>
    </row>
    <row r="55" spans="1:9">
      <c r="A55" s="35" t="s">
        <v>87</v>
      </c>
      <c r="B55" s="153">
        <v>90829369</v>
      </c>
      <c r="C55" s="162"/>
      <c r="D55" s="153">
        <v>65039688.350000001</v>
      </c>
      <c r="E55" s="4"/>
      <c r="F55" s="65" t="s">
        <v>168</v>
      </c>
      <c r="G55" s="69">
        <v>65039688.350000001</v>
      </c>
      <c r="H55" s="69">
        <v>90829369</v>
      </c>
      <c r="I55" s="70">
        <f>H55-G55</f>
        <v>25789680.649999999</v>
      </c>
    </row>
    <row r="56" spans="1:9">
      <c r="A56" s="35" t="s">
        <v>119</v>
      </c>
      <c r="B56" s="153">
        <v>0</v>
      </c>
      <c r="C56" s="162"/>
      <c r="D56" s="153">
        <f>18515978.17-16312011.03</f>
        <v>2203967.1400000025</v>
      </c>
      <c r="E56" s="4"/>
      <c r="F56" s="64"/>
      <c r="G56" s="69"/>
      <c r="H56" s="69"/>
      <c r="I56" s="70">
        <f>SUM(I52:I55)</f>
        <v>28508434.390000001</v>
      </c>
    </row>
    <row r="57" spans="1:9">
      <c r="A57" s="71" t="s">
        <v>82</v>
      </c>
      <c r="B57" s="166">
        <f>'P&amp;L'!C20*30%</f>
        <v>44453759.931000009</v>
      </c>
      <c r="C57" s="137"/>
      <c r="D57" s="166">
        <v>43314025.079999998</v>
      </c>
      <c r="E57" s="4"/>
      <c r="F57" s="72" t="s">
        <v>172</v>
      </c>
      <c r="G57" s="73"/>
      <c r="H57" s="74"/>
      <c r="I57" s="70">
        <v>2203967.14</v>
      </c>
    </row>
    <row r="58" spans="1:9">
      <c r="A58" s="35" t="s">
        <v>104</v>
      </c>
      <c r="B58" s="60"/>
      <c r="C58" s="53"/>
      <c r="D58" s="60"/>
      <c r="E58" s="4"/>
      <c r="F58" s="72" t="s">
        <v>173</v>
      </c>
      <c r="G58" s="75"/>
      <c r="H58" s="76"/>
      <c r="I58" s="70">
        <f>I56-I57</f>
        <v>26304467.25</v>
      </c>
    </row>
    <row r="59" spans="1:9">
      <c r="A59" s="35" t="s">
        <v>105</v>
      </c>
      <c r="B59" s="153">
        <v>15218362.33</v>
      </c>
      <c r="C59" s="147"/>
      <c r="D59" s="153">
        <v>6933836.0700000003</v>
      </c>
      <c r="E59" s="60"/>
      <c r="H59" s="4"/>
    </row>
    <row r="60" spans="1:9">
      <c r="A60" s="42" t="s">
        <v>126</v>
      </c>
      <c r="B60" s="4">
        <f>B28</f>
        <v>35976984</v>
      </c>
      <c r="C60" s="4"/>
      <c r="D60" s="4">
        <v>31457461</v>
      </c>
      <c r="E60" s="4"/>
      <c r="G60" s="4"/>
      <c r="H60" s="4"/>
    </row>
    <row r="61" spans="1:9">
      <c r="A61" s="35" t="s">
        <v>29</v>
      </c>
      <c r="B61" s="153">
        <v>184218620.62</v>
      </c>
      <c r="C61" s="4"/>
      <c r="D61" s="153">
        <f>56739077.32</f>
        <v>56739077.32</v>
      </c>
      <c r="E61" s="60"/>
      <c r="G61" s="21"/>
      <c r="H61" s="4"/>
    </row>
    <row r="62" spans="1:9" ht="21.75" thickBot="1">
      <c r="A62" s="35"/>
      <c r="B62" s="77">
        <f>B48+B49+B50+B51+B52+B55+B56+B57+B58+B59+B60+B61</f>
        <v>606697342.12100005</v>
      </c>
      <c r="C62" s="4"/>
      <c r="D62" s="77">
        <f>SUM(D48:D61)</f>
        <v>389577048.21999997</v>
      </c>
      <c r="E62" s="4"/>
      <c r="H62" s="129">
        <v>3917072320.1700001</v>
      </c>
    </row>
    <row r="63" spans="1:9">
      <c r="A63" s="35"/>
      <c r="B63" s="39"/>
      <c r="C63" s="4"/>
      <c r="D63" s="4"/>
      <c r="E63" s="4"/>
      <c r="G63" s="4"/>
      <c r="H63" s="129">
        <v>3917074167.1700001</v>
      </c>
    </row>
    <row r="64" spans="1:9">
      <c r="A64" s="33" t="s">
        <v>77</v>
      </c>
      <c r="B64" s="60"/>
      <c r="C64" s="4"/>
      <c r="D64" s="60"/>
      <c r="E64" s="4"/>
      <c r="G64" s="4"/>
      <c r="H64" s="129">
        <f>H62-H63</f>
        <v>-1847</v>
      </c>
    </row>
    <row r="65" spans="1:8" hidden="1">
      <c r="A65" s="35"/>
      <c r="B65" s="60"/>
      <c r="C65" s="17"/>
      <c r="D65" s="35"/>
      <c r="E65" s="4"/>
      <c r="G65" s="10"/>
      <c r="H65" s="130"/>
    </row>
    <row r="66" spans="1:8">
      <c r="A66" s="35" t="s">
        <v>64</v>
      </c>
      <c r="B66" s="60"/>
      <c r="D66" s="35"/>
      <c r="E66" s="10"/>
      <c r="H66" s="131"/>
    </row>
    <row r="67" spans="1:8">
      <c r="A67" s="35" t="s">
        <v>30</v>
      </c>
      <c r="B67" s="78">
        <v>55249190.710000001</v>
      </c>
      <c r="C67" s="35"/>
      <c r="D67" s="78">
        <v>56588891</v>
      </c>
      <c r="E67" s="4"/>
      <c r="G67" s="10"/>
      <c r="H67" s="132"/>
    </row>
    <row r="68" spans="1:8">
      <c r="A68" s="42" t="s">
        <v>31</v>
      </c>
      <c r="B68" s="78">
        <v>157120</v>
      </c>
      <c r="C68" s="35"/>
      <c r="D68" s="78">
        <v>277300</v>
      </c>
      <c r="E68" s="4"/>
      <c r="G68" s="10"/>
      <c r="H68" s="10"/>
    </row>
    <row r="69" spans="1:8">
      <c r="A69" s="42" t="s">
        <v>32</v>
      </c>
      <c r="B69" s="78">
        <v>43850269.850000001</v>
      </c>
      <c r="C69" s="79">
        <f>B67+B68+B69</f>
        <v>99256580.560000002</v>
      </c>
      <c r="D69" s="78">
        <v>31099570.16</v>
      </c>
      <c r="E69" s="21">
        <f>D67+D68+D69</f>
        <v>87965761.159999996</v>
      </c>
      <c r="G69" s="10"/>
      <c r="H69" s="10"/>
    </row>
    <row r="70" spans="1:8">
      <c r="A70" s="80"/>
      <c r="B70" s="61"/>
      <c r="C70" s="35"/>
      <c r="D70" s="55"/>
      <c r="E70" s="4"/>
      <c r="G70" s="8"/>
      <c r="H70" s="10"/>
    </row>
    <row r="71" spans="1:8">
      <c r="A71" s="35"/>
      <c r="B71" s="60"/>
      <c r="C71" s="35"/>
      <c r="D71" s="35"/>
      <c r="E71" s="4"/>
      <c r="G71" s="10"/>
      <c r="H71" s="10"/>
    </row>
    <row r="72" spans="1:8">
      <c r="A72" s="42" t="s">
        <v>33</v>
      </c>
      <c r="B72" s="60">
        <f>299050533.69</f>
        <v>299050533.69</v>
      </c>
      <c r="C72" s="35"/>
      <c r="D72" s="60">
        <v>340740615.13999999</v>
      </c>
      <c r="E72" s="4"/>
    </row>
    <row r="73" spans="1:8">
      <c r="A73" s="42" t="s">
        <v>155</v>
      </c>
      <c r="B73" s="60">
        <v>100000</v>
      </c>
      <c r="C73" s="35"/>
      <c r="D73" s="60">
        <v>100000</v>
      </c>
      <c r="E73" s="4"/>
    </row>
    <row r="74" spans="1:8">
      <c r="A74" s="42" t="s">
        <v>34</v>
      </c>
      <c r="B74" s="60">
        <f>1697600727.72-2134235</f>
        <v>1695466492.72</v>
      </c>
      <c r="C74" s="51">
        <f>B72+B73+B74</f>
        <v>1994617026.4100001</v>
      </c>
      <c r="D74" s="60">
        <v>984179723.53999996</v>
      </c>
      <c r="E74" s="21">
        <f>D72+D73+D74</f>
        <v>1325020338.6799998</v>
      </c>
    </row>
    <row r="75" spans="1:8" ht="21.75" thickBot="1">
      <c r="A75" s="35" t="s">
        <v>22</v>
      </c>
      <c r="B75" s="61"/>
      <c r="C75" s="81">
        <f>C69+C74</f>
        <v>2093873606.97</v>
      </c>
      <c r="D75" s="35"/>
      <c r="E75" s="13">
        <f>E69+E74</f>
        <v>1412986099.8399999</v>
      </c>
    </row>
    <row r="76" spans="1:8">
      <c r="A76" s="35"/>
      <c r="B76" s="60"/>
      <c r="C76" s="35"/>
      <c r="D76" s="35"/>
      <c r="E76" s="4"/>
    </row>
    <row r="77" spans="1:8">
      <c r="A77" s="33" t="s">
        <v>83</v>
      </c>
      <c r="B77" s="42"/>
      <c r="C77" s="35"/>
      <c r="D77" s="35"/>
      <c r="E77" s="4"/>
    </row>
    <row r="78" spans="1:8" hidden="1">
      <c r="A78" s="35"/>
      <c r="B78" s="42"/>
      <c r="C78" s="35"/>
      <c r="D78" s="35"/>
      <c r="E78" s="4"/>
    </row>
    <row r="79" spans="1:8">
      <c r="A79" s="35" t="s">
        <v>35</v>
      </c>
      <c r="B79" s="42"/>
      <c r="E79" s="4"/>
    </row>
    <row r="80" spans="1:8">
      <c r="A80" s="35" t="s">
        <v>36</v>
      </c>
      <c r="B80" s="60">
        <v>535093016.43000001</v>
      </c>
      <c r="C80" s="82"/>
      <c r="D80" s="60">
        <v>293722658.36000001</v>
      </c>
      <c r="E80" s="4"/>
      <c r="G80" s="8"/>
    </row>
    <row r="81" spans="1:7">
      <c r="A81" s="83"/>
      <c r="B81" s="60"/>
      <c r="C81" s="8"/>
      <c r="D81" s="60"/>
      <c r="E81" s="4"/>
      <c r="G81" s="4"/>
    </row>
    <row r="82" spans="1:7">
      <c r="A82" s="84" t="s">
        <v>37</v>
      </c>
      <c r="B82" s="60">
        <f>24269382.81+2134235</f>
        <v>26403617.809999999</v>
      </c>
      <c r="D82" s="60">
        <v>41150239.609999999</v>
      </c>
      <c r="E82" s="4"/>
      <c r="G82" s="10"/>
    </row>
    <row r="83" spans="1:7">
      <c r="A83" s="84" t="s">
        <v>73</v>
      </c>
      <c r="B83" s="60">
        <v>560277070</v>
      </c>
      <c r="C83" s="34"/>
      <c r="D83" s="60">
        <v>486977070</v>
      </c>
      <c r="E83" s="4"/>
    </row>
    <row r="84" spans="1:7" ht="21.75" thickBot="1">
      <c r="A84" s="84"/>
      <c r="B84" s="77">
        <f>B80+B82+B83</f>
        <v>1121773704.24</v>
      </c>
      <c r="C84" s="17"/>
      <c r="D84" s="13">
        <f>D80+D82+D83</f>
        <v>821849967.97000003</v>
      </c>
      <c r="E84" s="4"/>
    </row>
    <row r="85" spans="1:7">
      <c r="A85" s="84"/>
      <c r="B85" s="61"/>
      <c r="C85" s="17"/>
      <c r="D85" s="85"/>
      <c r="E85" s="4"/>
    </row>
    <row r="86" spans="1:7">
      <c r="A86" s="35"/>
      <c r="B86" s="60"/>
      <c r="C86" s="35"/>
      <c r="D86" s="35"/>
      <c r="E86" s="4"/>
    </row>
    <row r="87" spans="1:7">
      <c r="A87" s="33" t="s">
        <v>78</v>
      </c>
      <c r="B87" s="60"/>
      <c r="C87" s="35"/>
      <c r="D87" s="35"/>
      <c r="E87" s="4"/>
    </row>
    <row r="88" spans="1:7">
      <c r="A88" s="35" t="s">
        <v>38</v>
      </c>
      <c r="B88" s="86">
        <v>267941360.93000001</v>
      </c>
      <c r="C88" s="86"/>
      <c r="D88" s="86">
        <v>280213464.31</v>
      </c>
      <c r="E88" s="4"/>
    </row>
    <row r="89" spans="1:7">
      <c r="A89" s="35" t="s">
        <v>39</v>
      </c>
      <c r="B89" s="86">
        <v>259983387</v>
      </c>
      <c r="C89" s="86"/>
      <c r="D89" s="86">
        <v>155291439.25</v>
      </c>
      <c r="E89" s="4"/>
    </row>
    <row r="90" spans="1:7">
      <c r="A90" s="35" t="s">
        <v>40</v>
      </c>
      <c r="B90" s="86">
        <v>810109437.98000002</v>
      </c>
      <c r="C90" s="86"/>
      <c r="D90" s="86">
        <v>753940990.74000001</v>
      </c>
      <c r="E90" s="4"/>
    </row>
    <row r="91" spans="1:7">
      <c r="A91" s="35" t="s">
        <v>41</v>
      </c>
      <c r="B91" s="128">
        <f>2574655933.26+3483201+1847</f>
        <v>2578140981.2600002</v>
      </c>
      <c r="C91" s="86"/>
      <c r="D91" s="86">
        <f>2544064189.28+240895</f>
        <v>2544305084.2800002</v>
      </c>
      <c r="E91" s="4"/>
    </row>
    <row r="92" spans="1:7">
      <c r="A92" s="71" t="s">
        <v>72</v>
      </c>
      <c r="B92" s="67">
        <v>899000</v>
      </c>
      <c r="C92" s="67"/>
      <c r="D92" s="67">
        <v>0</v>
      </c>
      <c r="E92" s="4"/>
    </row>
    <row r="93" spans="1:7">
      <c r="A93" s="71" t="s">
        <v>118</v>
      </c>
      <c r="B93" s="67"/>
      <c r="C93" s="67"/>
      <c r="D93" s="67"/>
      <c r="E93" s="4"/>
    </row>
    <row r="94" spans="1:7" ht="21.75" thickBot="1">
      <c r="A94" s="35"/>
      <c r="B94" s="87">
        <f>B88+B89+B90+B91+B92+B93</f>
        <v>3917074167.1700001</v>
      </c>
      <c r="C94" s="86"/>
      <c r="D94" s="13">
        <f>D88+D89+D90+D91+D92+D93</f>
        <v>3733750978.5799999</v>
      </c>
      <c r="E94" s="4"/>
    </row>
    <row r="95" spans="1:7">
      <c r="E95" s="4"/>
    </row>
    <row r="96" spans="1:7">
      <c r="A96" s="35"/>
      <c r="E96" s="4"/>
    </row>
    <row r="97" spans="1:7" ht="23.25">
      <c r="A97" s="35"/>
      <c r="B97" s="88"/>
      <c r="C97" s="86"/>
      <c r="D97" s="35"/>
    </row>
    <row r="98" spans="1:7">
      <c r="A98" s="89" t="s">
        <v>79</v>
      </c>
      <c r="B98" s="35"/>
      <c r="D98" s="35"/>
      <c r="E98" s="4"/>
    </row>
    <row r="99" spans="1:7">
      <c r="D99" s="35"/>
      <c r="E99" s="4"/>
    </row>
    <row r="100" spans="1:7">
      <c r="A100" s="71" t="s">
        <v>42</v>
      </c>
      <c r="B100" s="90"/>
      <c r="C100" s="71"/>
      <c r="D100" s="71"/>
      <c r="E100" s="91"/>
    </row>
    <row r="101" spans="1:7">
      <c r="A101" s="92" t="s">
        <v>158</v>
      </c>
      <c r="B101" s="67">
        <v>4461530</v>
      </c>
      <c r="C101" s="93"/>
      <c r="D101" s="67">
        <v>4461530</v>
      </c>
      <c r="E101" s="91"/>
    </row>
    <row r="102" spans="1:7">
      <c r="A102" s="71" t="s">
        <v>43</v>
      </c>
      <c r="B102" s="67">
        <v>0</v>
      </c>
      <c r="C102" s="94"/>
      <c r="D102" s="95">
        <v>0</v>
      </c>
      <c r="E102" s="91"/>
    </row>
    <row r="103" spans="1:7">
      <c r="A103" s="92" t="s">
        <v>159</v>
      </c>
      <c r="B103" s="96">
        <f>B101+B102</f>
        <v>4461530</v>
      </c>
      <c r="C103" s="71"/>
      <c r="D103" s="97">
        <f>D101+D102</f>
        <v>4461530</v>
      </c>
      <c r="E103" s="91"/>
    </row>
    <row r="104" spans="1:7">
      <c r="A104" s="92" t="s">
        <v>160</v>
      </c>
      <c r="B104" s="67">
        <v>4461530</v>
      </c>
      <c r="C104" s="71"/>
      <c r="D104" s="67">
        <f>D101-892306</f>
        <v>3569224</v>
      </c>
      <c r="E104" s="91"/>
    </row>
    <row r="105" spans="1:7">
      <c r="A105" s="98"/>
      <c r="B105" s="96">
        <f>B103-B104</f>
        <v>0</v>
      </c>
      <c r="C105" s="99">
        <f>B105</f>
        <v>0</v>
      </c>
      <c r="D105" s="97">
        <f>D103-D104</f>
        <v>892306</v>
      </c>
      <c r="E105" s="100">
        <f>D105</f>
        <v>892306</v>
      </c>
    </row>
    <row r="106" spans="1:7">
      <c r="A106" s="71" t="s">
        <v>44</v>
      </c>
      <c r="B106" s="67"/>
      <c r="C106" s="71"/>
      <c r="D106" s="95"/>
      <c r="E106" s="91"/>
    </row>
    <row r="107" spans="1:7" hidden="1">
      <c r="A107" s="71" t="s">
        <v>44</v>
      </c>
      <c r="B107" s="67"/>
      <c r="C107" s="71"/>
      <c r="D107" s="95"/>
      <c r="E107" s="91"/>
    </row>
    <row r="108" spans="1:7">
      <c r="A108" s="92" t="s">
        <v>161</v>
      </c>
      <c r="B108" s="67">
        <v>95557859.010000005</v>
      </c>
      <c r="C108" s="71"/>
      <c r="D108" s="67">
        <v>93196978.010000005</v>
      </c>
      <c r="E108" s="91"/>
    </row>
    <row r="109" spans="1:7">
      <c r="A109" s="101" t="s">
        <v>43</v>
      </c>
      <c r="B109" s="102">
        <v>5247979.2</v>
      </c>
      <c r="C109" s="102"/>
      <c r="D109" s="102">
        <f>2862283-29962-449440</f>
        <v>2382881</v>
      </c>
      <c r="E109" s="91"/>
      <c r="G109" s="4"/>
    </row>
    <row r="110" spans="1:7">
      <c r="A110" s="101"/>
      <c r="B110" s="103">
        <f>B108+B109</f>
        <v>100805838.21000001</v>
      </c>
      <c r="C110" s="102"/>
      <c r="D110" s="103">
        <f>D108+D109</f>
        <v>95579859.010000005</v>
      </c>
      <c r="E110" s="91"/>
    </row>
    <row r="111" spans="1:7">
      <c r="A111" s="101" t="s">
        <v>45</v>
      </c>
      <c r="B111" s="102">
        <v>1102365</v>
      </c>
      <c r="C111" s="102"/>
      <c r="D111" s="102">
        <v>22000</v>
      </c>
      <c r="E111" s="91"/>
      <c r="G111" s="4"/>
    </row>
    <row r="112" spans="1:7">
      <c r="A112" s="71"/>
      <c r="B112" s="104">
        <f>B110-B111</f>
        <v>99703473.210000008</v>
      </c>
      <c r="C112" s="94"/>
      <c r="D112" s="104">
        <f>D110-D111</f>
        <v>95557859.010000005</v>
      </c>
      <c r="E112" s="91"/>
      <c r="G112" s="10"/>
    </row>
    <row r="113" spans="1:9">
      <c r="A113" s="101" t="s">
        <v>46</v>
      </c>
      <c r="B113" s="67">
        <f>54447017.29</f>
        <v>54447017.289999999</v>
      </c>
      <c r="C113" s="71"/>
      <c r="D113" s="67">
        <f>41484136.58-61874.96</f>
        <v>41422261.619999997</v>
      </c>
      <c r="E113" s="91"/>
    </row>
    <row r="114" spans="1:9">
      <c r="A114" s="71"/>
      <c r="B114" s="104">
        <f>B112-B113</f>
        <v>45256455.920000009</v>
      </c>
      <c r="C114" s="105">
        <f>B114</f>
        <v>45256455.920000009</v>
      </c>
      <c r="D114" s="104">
        <f>D112-D113</f>
        <v>54135597.390000008</v>
      </c>
      <c r="E114" s="100">
        <f>D114</f>
        <v>54135597.390000008</v>
      </c>
    </row>
    <row r="115" spans="1:9" ht="21.75" thickBot="1">
      <c r="A115" s="71"/>
      <c r="B115" s="93"/>
      <c r="C115" s="106">
        <f>C105+C114</f>
        <v>45256455.920000009</v>
      </c>
      <c r="D115" s="95"/>
      <c r="E115" s="107">
        <f>E105+E114</f>
        <v>55027903.390000008</v>
      </c>
    </row>
    <row r="116" spans="1:9">
      <c r="A116" s="71"/>
      <c r="B116" s="93"/>
      <c r="C116" s="108"/>
      <c r="D116" s="95"/>
      <c r="E116" s="91"/>
    </row>
    <row r="117" spans="1:9">
      <c r="A117" s="109" t="s">
        <v>94</v>
      </c>
      <c r="B117" s="86"/>
      <c r="C117" s="86"/>
      <c r="D117" s="55"/>
      <c r="E117" s="4"/>
    </row>
    <row r="118" spans="1:9">
      <c r="A118" s="35" t="s">
        <v>47</v>
      </c>
      <c r="B118" s="86">
        <v>63640.3</v>
      </c>
      <c r="C118" s="55"/>
      <c r="D118" s="86">
        <f>108845+169200.49</f>
        <v>278045.49</v>
      </c>
      <c r="E118" s="4"/>
      <c r="G118" s="10"/>
    </row>
    <row r="119" spans="1:9">
      <c r="A119" s="71" t="s">
        <v>101</v>
      </c>
      <c r="B119" s="67">
        <v>41299995.600000001</v>
      </c>
      <c r="C119" s="95"/>
      <c r="D119" s="67">
        <f>30832960.42-3969451.11-874594.37</f>
        <v>25988914.940000001</v>
      </c>
      <c r="G119" s="4"/>
      <c r="H119" s="8"/>
    </row>
    <row r="120" spans="1:9">
      <c r="A120" s="71" t="s">
        <v>116</v>
      </c>
      <c r="B120" s="91">
        <v>22796678.690000001</v>
      </c>
      <c r="C120" s="95"/>
      <c r="D120" s="91">
        <v>19780446</v>
      </c>
      <c r="E120" s="4"/>
      <c r="G120" s="3">
        <v>82535247.390000001</v>
      </c>
      <c r="H120" s="10"/>
    </row>
    <row r="121" spans="1:9">
      <c r="A121" s="71" t="s">
        <v>117</v>
      </c>
      <c r="B121" s="91"/>
      <c r="C121" s="95"/>
      <c r="D121" s="91">
        <v>874594.37</v>
      </c>
      <c r="E121" s="4"/>
    </row>
    <row r="122" spans="1:9">
      <c r="A122" s="127" t="s">
        <v>182</v>
      </c>
      <c r="B122" s="128">
        <v>1375000</v>
      </c>
      <c r="C122" s="55"/>
      <c r="D122" s="86">
        <v>0</v>
      </c>
      <c r="E122" s="4"/>
    </row>
    <row r="123" spans="1:9">
      <c r="A123" s="35" t="s">
        <v>95</v>
      </c>
      <c r="B123" s="110">
        <v>12000000</v>
      </c>
      <c r="C123" s="55"/>
      <c r="D123" s="110">
        <v>12000000</v>
      </c>
      <c r="E123" s="4"/>
      <c r="G123" s="3" t="s">
        <v>182</v>
      </c>
      <c r="I123" s="4">
        <v>1375000</v>
      </c>
    </row>
    <row r="124" spans="1:9">
      <c r="A124" s="35" t="s">
        <v>99</v>
      </c>
      <c r="B124" s="86">
        <v>0</v>
      </c>
      <c r="C124" s="55"/>
      <c r="D124" s="86">
        <v>198500000</v>
      </c>
      <c r="E124" s="4"/>
      <c r="G124" s="4"/>
    </row>
    <row r="125" spans="1:9">
      <c r="A125" s="35" t="s">
        <v>106</v>
      </c>
      <c r="B125" s="86">
        <v>1254787.8999999999</v>
      </c>
      <c r="C125" s="55"/>
      <c r="D125" s="86">
        <f>1818263.51+890</f>
        <v>1819153.51</v>
      </c>
      <c r="E125" s="4"/>
      <c r="G125" s="4"/>
    </row>
    <row r="126" spans="1:9">
      <c r="A126" s="35" t="s">
        <v>151</v>
      </c>
      <c r="B126" s="86">
        <v>5120144.9000000004</v>
      </c>
      <c r="C126" s="55"/>
      <c r="D126" s="86">
        <f>429730.52+2847791.42</f>
        <v>3277521.94</v>
      </c>
      <c r="E126" s="4"/>
      <c r="G126" s="4"/>
    </row>
    <row r="127" spans="1:9">
      <c r="A127" s="35" t="s">
        <v>107</v>
      </c>
      <c r="B127" s="86">
        <v>0</v>
      </c>
      <c r="C127" s="95"/>
      <c r="D127" s="86">
        <v>0</v>
      </c>
      <c r="E127" s="4"/>
      <c r="G127" s="4"/>
    </row>
    <row r="128" spans="1:9" ht="21.75" thickBot="1">
      <c r="A128" s="35"/>
      <c r="B128" s="62">
        <f>B118+B119+B120+B121+B122+B123+B124+B125+B127+B126</f>
        <v>83910247.390000015</v>
      </c>
      <c r="C128" s="55"/>
      <c r="D128" s="62">
        <f>D118+D119+D120+D121+D122+D123+D124+D125+D127+D126</f>
        <v>262518676.25</v>
      </c>
      <c r="E128" s="4"/>
      <c r="G128" s="4"/>
    </row>
    <row r="129" spans="1:8">
      <c r="A129" s="35"/>
      <c r="E129" s="4"/>
      <c r="G129" s="4"/>
      <c r="H129" s="10"/>
    </row>
    <row r="130" spans="1:8">
      <c r="A130" s="35"/>
      <c r="B130" s="35"/>
      <c r="C130" s="111"/>
      <c r="D130" s="55"/>
      <c r="E130" s="4"/>
      <c r="H130" s="10"/>
    </row>
    <row r="131" spans="1:8">
      <c r="A131" s="112" t="s">
        <v>140</v>
      </c>
      <c r="B131" s="113"/>
      <c r="D131" s="10"/>
      <c r="E131" s="4"/>
    </row>
    <row r="132" spans="1:8">
      <c r="B132" s="114"/>
      <c r="C132" s="10"/>
      <c r="E132" s="4"/>
    </row>
    <row r="133" spans="1:8" ht="16.5" customHeight="1">
      <c r="A133" s="115" t="s">
        <v>80</v>
      </c>
      <c r="B133" s="124">
        <v>1476502534.76</v>
      </c>
      <c r="D133" s="113">
        <v>834780352.22000003</v>
      </c>
      <c r="E133" s="4"/>
    </row>
    <row r="134" spans="1:8">
      <c r="A134" s="35"/>
      <c r="B134" s="60"/>
      <c r="D134" s="60"/>
      <c r="E134" s="4"/>
    </row>
    <row r="135" spans="1:8">
      <c r="A135" s="35"/>
      <c r="B135" s="60"/>
      <c r="C135" s="85"/>
      <c r="D135" s="60"/>
      <c r="E135" s="4"/>
    </row>
    <row r="136" spans="1:8">
      <c r="A136" s="135" t="s">
        <v>141</v>
      </c>
      <c r="E136" s="4"/>
    </row>
    <row r="137" spans="1:8">
      <c r="A137" s="35" t="s">
        <v>48</v>
      </c>
      <c r="B137" s="86">
        <v>424921941.16000003</v>
      </c>
      <c r="C137" s="85"/>
      <c r="D137" s="86">
        <v>416344372.77999997</v>
      </c>
      <c r="E137" s="4"/>
    </row>
    <row r="138" spans="1:8">
      <c r="A138" s="3" t="s">
        <v>81</v>
      </c>
      <c r="B138" s="4">
        <v>45705206.850000001</v>
      </c>
      <c r="D138" s="4">
        <v>39680650.310000002</v>
      </c>
      <c r="E138" s="4"/>
      <c r="G138" s="10"/>
    </row>
    <row r="139" spans="1:8">
      <c r="A139" s="3" t="s">
        <v>96</v>
      </c>
      <c r="B139" s="114">
        <v>101594</v>
      </c>
      <c r="D139" s="114">
        <v>1157813.8500000001</v>
      </c>
      <c r="E139" s="4"/>
    </row>
    <row r="140" spans="1:8" ht="21.75" thickBot="1">
      <c r="B140" s="62">
        <f>B137+B138+B139</f>
        <v>470728742.01000005</v>
      </c>
      <c r="D140" s="13">
        <f>D137+D138+D139</f>
        <v>457182836.94</v>
      </c>
      <c r="E140" s="4"/>
    </row>
    <row r="141" spans="1:8">
      <c r="E141" s="4"/>
    </row>
    <row r="142" spans="1:8">
      <c r="E142" s="4"/>
      <c r="G142" s="4"/>
    </row>
    <row r="143" spans="1:8">
      <c r="E143" s="4"/>
      <c r="G143" s="4"/>
    </row>
    <row r="144" spans="1:8" hidden="1">
      <c r="B144" s="8"/>
      <c r="E144" s="4"/>
    </row>
    <row r="145" spans="1:9">
      <c r="A145" s="112" t="s">
        <v>142</v>
      </c>
      <c r="D145" s="4"/>
      <c r="E145" s="4"/>
      <c r="G145" s="4"/>
    </row>
    <row r="146" spans="1:9">
      <c r="A146" s="3" t="s">
        <v>49</v>
      </c>
      <c r="B146" s="136">
        <v>59050477.640000001</v>
      </c>
      <c r="C146" s="137"/>
      <c r="D146" s="136">
        <v>28662802.530000001</v>
      </c>
      <c r="E146" s="4"/>
      <c r="G146" s="10"/>
    </row>
    <row r="147" spans="1:9">
      <c r="A147" s="3" t="s">
        <v>50</v>
      </c>
      <c r="B147" s="136">
        <v>7879433.7999999998</v>
      </c>
      <c r="C147" s="137"/>
      <c r="D147" s="136">
        <v>8344065.3300000001</v>
      </c>
      <c r="E147" s="4"/>
      <c r="G147" s="8"/>
    </row>
    <row r="148" spans="1:9">
      <c r="A148" s="116" t="s">
        <v>115</v>
      </c>
      <c r="B148" s="136">
        <v>134000</v>
      </c>
      <c r="D148" s="136">
        <v>118000</v>
      </c>
      <c r="E148" s="4"/>
      <c r="G148" s="10">
        <v>105973090.59</v>
      </c>
    </row>
    <row r="149" spans="1:9">
      <c r="A149" s="3" t="s">
        <v>108</v>
      </c>
      <c r="B149" s="136">
        <v>6879053.9100000001</v>
      </c>
      <c r="D149" s="136">
        <v>5409759.8099999996</v>
      </c>
      <c r="E149" s="4"/>
      <c r="G149" s="10"/>
    </row>
    <row r="150" spans="1:9">
      <c r="A150" s="3" t="s">
        <v>109</v>
      </c>
      <c r="B150" s="138">
        <v>4033527.1</v>
      </c>
      <c r="D150" s="138">
        <v>1151811</v>
      </c>
      <c r="E150" s="4"/>
      <c r="G150" s="10"/>
    </row>
    <row r="151" spans="1:9">
      <c r="A151" s="3" t="s">
        <v>110</v>
      </c>
      <c r="B151" s="138">
        <v>12992939.99</v>
      </c>
      <c r="D151" s="138">
        <v>16015145.140000001</v>
      </c>
      <c r="E151" s="4"/>
    </row>
    <row r="152" spans="1:9">
      <c r="A152" s="125" t="s">
        <v>183</v>
      </c>
      <c r="B152" s="126">
        <v>1000000</v>
      </c>
      <c r="D152" s="138">
        <v>0</v>
      </c>
      <c r="E152" s="4"/>
      <c r="G152" s="10" t="s">
        <v>181</v>
      </c>
      <c r="I152" s="3">
        <v>1000000</v>
      </c>
    </row>
    <row r="153" spans="1:9">
      <c r="A153" s="116" t="s">
        <v>29</v>
      </c>
      <c r="B153" s="138">
        <f>105791924.66-90969432.44+100980.2+80185.73</f>
        <v>15003658.149999999</v>
      </c>
      <c r="D153" s="118">
        <f>71272402.83-59701583.81</f>
        <v>11570819.019999996</v>
      </c>
      <c r="E153" s="4"/>
    </row>
    <row r="154" spans="1:9" ht="21.75" thickBot="1">
      <c r="B154" s="81">
        <f>B146+B147+B148+B149+B150+B151+B152+B153</f>
        <v>106973090.58999997</v>
      </c>
      <c r="D154" s="81">
        <f>SUM(D146:D153)</f>
        <v>71272402.829999998</v>
      </c>
      <c r="E154" s="4"/>
      <c r="G154" s="10"/>
    </row>
    <row r="155" spans="1:9">
      <c r="B155" s="113"/>
      <c r="C155" s="4"/>
      <c r="D155" s="4"/>
      <c r="E155" s="4"/>
      <c r="G155" s="8"/>
    </row>
    <row r="156" spans="1:9">
      <c r="B156" s="114"/>
      <c r="C156" s="4"/>
      <c r="D156" s="4"/>
      <c r="E156" s="4"/>
      <c r="G156" s="10"/>
    </row>
    <row r="157" spans="1:9">
      <c r="A157" s="135" t="s">
        <v>143</v>
      </c>
      <c r="B157" s="114"/>
      <c r="C157" s="4"/>
      <c r="D157" s="4"/>
      <c r="E157" s="4"/>
    </row>
    <row r="158" spans="1:9">
      <c r="A158" s="3" t="s">
        <v>51</v>
      </c>
      <c r="B158" s="114">
        <v>259376439.53</v>
      </c>
      <c r="C158" s="4"/>
      <c r="D158" s="114">
        <f>238086881.46-10800000</f>
        <v>227286881.46000001</v>
      </c>
      <c r="E158" s="4"/>
    </row>
    <row r="159" spans="1:9">
      <c r="A159" s="3" t="s">
        <v>103</v>
      </c>
      <c r="B159" s="114">
        <v>17358904.109999999</v>
      </c>
      <c r="C159" s="4"/>
      <c r="D159" s="114">
        <v>10800000</v>
      </c>
      <c r="E159" s="4"/>
    </row>
    <row r="160" spans="1:9" ht="21.75" thickBot="1">
      <c r="B160" s="87">
        <f>SUM(B158:B159)</f>
        <v>276735343.63999999</v>
      </c>
      <c r="C160" s="4"/>
      <c r="D160" s="13">
        <f>SUM(D158:D159)</f>
        <v>238086881.46000001</v>
      </c>
      <c r="E160" s="4"/>
    </row>
    <row r="161" spans="1:9">
      <c r="A161" s="112"/>
      <c r="B161" s="114"/>
      <c r="C161" s="4"/>
      <c r="D161" s="4"/>
      <c r="E161" s="4"/>
    </row>
    <row r="162" spans="1:9">
      <c r="A162" s="112" t="s">
        <v>144</v>
      </c>
      <c r="D162" s="4"/>
      <c r="E162" s="4"/>
    </row>
    <row r="163" spans="1:9">
      <c r="A163" s="139" t="s">
        <v>88</v>
      </c>
      <c r="B163" s="136">
        <v>50274230.770000003</v>
      </c>
      <c r="C163" s="140"/>
      <c r="D163" s="136">
        <v>48020948.960000001</v>
      </c>
      <c r="E163" s="4"/>
    </row>
    <row r="164" spans="1:9">
      <c r="A164" s="139" t="s">
        <v>89</v>
      </c>
      <c r="B164" s="136">
        <v>3520873.07</v>
      </c>
      <c r="C164" s="140"/>
      <c r="D164" s="136">
        <v>3779347.78</v>
      </c>
      <c r="E164" s="4"/>
    </row>
    <row r="165" spans="1:9">
      <c r="A165" s="139" t="s">
        <v>90</v>
      </c>
      <c r="B165" s="136">
        <v>225000</v>
      </c>
      <c r="C165" s="140"/>
      <c r="D165" s="136">
        <v>225000</v>
      </c>
      <c r="E165" s="4"/>
      <c r="G165" s="4">
        <f>13667256.59+892306</f>
        <v>14559562.59</v>
      </c>
    </row>
    <row r="166" spans="1:9">
      <c r="A166" s="139" t="s">
        <v>148</v>
      </c>
      <c r="B166" s="143">
        <f>360000+105000</f>
        <v>465000</v>
      </c>
      <c r="C166" s="139"/>
      <c r="D166" s="136">
        <v>405000</v>
      </c>
      <c r="E166" s="4"/>
      <c r="G166" s="10"/>
    </row>
    <row r="167" spans="1:9">
      <c r="A167" s="139" t="s">
        <v>156</v>
      </c>
      <c r="B167" s="136">
        <v>1041129.51</v>
      </c>
      <c r="C167" s="140"/>
      <c r="D167" s="136">
        <v>1057840</v>
      </c>
      <c r="E167" s="4"/>
    </row>
    <row r="168" spans="1:9">
      <c r="A168" s="139" t="s">
        <v>157</v>
      </c>
      <c r="B168" s="136">
        <v>2848998.92</v>
      </c>
      <c r="C168" s="139"/>
      <c r="D168" s="136">
        <v>1676226.74</v>
      </c>
      <c r="E168" s="4"/>
    </row>
    <row r="169" spans="1:9">
      <c r="A169" s="3" t="s">
        <v>97</v>
      </c>
      <c r="B169" s="4">
        <f>14479376.87+80185.73</f>
        <v>14559562.6</v>
      </c>
      <c r="D169" s="4">
        <f>14248765.2-61874.96</f>
        <v>14186890.239999998</v>
      </c>
      <c r="E169" s="4"/>
    </row>
    <row r="170" spans="1:9">
      <c r="A170" s="141" t="s">
        <v>91</v>
      </c>
      <c r="B170" s="141">
        <v>14378827.08</v>
      </c>
      <c r="C170" s="136"/>
      <c r="D170" s="141">
        <v>12474526.17</v>
      </c>
      <c r="E170" s="4"/>
    </row>
    <row r="171" spans="1:9" hidden="1">
      <c r="B171" s="119"/>
      <c r="C171" s="8"/>
      <c r="D171" s="119"/>
      <c r="E171" s="4"/>
    </row>
    <row r="172" spans="1:9" hidden="1">
      <c r="A172" s="116"/>
      <c r="B172" s="117"/>
      <c r="C172" s="114"/>
      <c r="D172" s="117"/>
      <c r="E172" s="4"/>
    </row>
    <row r="173" spans="1:9">
      <c r="A173" s="139" t="s">
        <v>92</v>
      </c>
      <c r="B173" s="142">
        <f>126676656.01-105000-119070308.6+100980.2</f>
        <v>7602327.6100000115</v>
      </c>
      <c r="C173" s="140"/>
      <c r="D173" s="136">
        <f>7770012.83+500000</f>
        <v>8270012.8300000001</v>
      </c>
      <c r="E173" s="4"/>
      <c r="G173" s="8">
        <f>+B164+B166+B167+B173+B178</f>
        <v>16881540.470000014</v>
      </c>
      <c r="H173" s="8">
        <f>+C164+C166+C167+C173+C178</f>
        <v>0</v>
      </c>
      <c r="I173" s="8">
        <f>+D164+D166+D167+D173+D178</f>
        <v>16464346.219999999</v>
      </c>
    </row>
    <row r="174" spans="1:9" hidden="1">
      <c r="A174" s="139"/>
      <c r="B174" s="136"/>
      <c r="C174" s="140"/>
      <c r="D174" s="136"/>
      <c r="E174" s="4"/>
    </row>
    <row r="175" spans="1:9">
      <c r="A175" s="139" t="s">
        <v>149</v>
      </c>
      <c r="B175" s="138">
        <v>15098400.1</v>
      </c>
      <c r="C175" s="139"/>
      <c r="D175" s="138">
        <v>16030825.57</v>
      </c>
      <c r="E175" s="4"/>
    </row>
    <row r="176" spans="1:9">
      <c r="A176" s="139" t="s">
        <v>100</v>
      </c>
      <c r="B176" s="143">
        <f>571630-375000</f>
        <v>196630</v>
      </c>
      <c r="C176" s="139"/>
      <c r="D176" s="136">
        <f>4370516.91-429730.52+449440-500000</f>
        <v>3890226.3900000006</v>
      </c>
      <c r="E176" s="4"/>
    </row>
    <row r="177" spans="1:7">
      <c r="A177" s="139" t="s">
        <v>150</v>
      </c>
      <c r="B177" s="136">
        <v>12019632</v>
      </c>
      <c r="C177" s="137"/>
      <c r="D177" s="136">
        <v>10078632</v>
      </c>
      <c r="E177" s="4"/>
    </row>
    <row r="178" spans="1:7">
      <c r="A178" s="139" t="s">
        <v>102</v>
      </c>
      <c r="B178" s="144">
        <v>4252210.28</v>
      </c>
      <c r="C178" s="137"/>
      <c r="D178" s="145">
        <f>5769975.03+29962-2847791.42</f>
        <v>2952145.6100000003</v>
      </c>
      <c r="E178" s="4"/>
      <c r="F178" s="10"/>
    </row>
    <row r="179" spans="1:7" ht="21.75" thickBot="1">
      <c r="B179" s="81">
        <f>B163+B164+B165+B166+B167+B168+B169+B170+B173+B175+B176+B177+B178</f>
        <v>126482821.94000001</v>
      </c>
      <c r="D179" s="81">
        <f>D163+D164+D165+D166+D167+D168+D169+D170+D173+D175+D176+D177+D178</f>
        <v>123047622.28999999</v>
      </c>
      <c r="E179" s="4"/>
    </row>
    <row r="180" spans="1:7">
      <c r="C180" s="4"/>
      <c r="D180" s="10"/>
      <c r="E180" s="4"/>
    </row>
    <row r="181" spans="1:7">
      <c r="C181" s="10"/>
      <c r="E181" s="4"/>
    </row>
    <row r="182" spans="1:7">
      <c r="A182" s="135" t="s">
        <v>145</v>
      </c>
      <c r="B182" s="139"/>
      <c r="C182" s="137"/>
      <c r="D182" s="139"/>
      <c r="E182" s="4"/>
    </row>
    <row r="183" spans="1:7">
      <c r="A183" s="146" t="s">
        <v>111</v>
      </c>
      <c r="B183" s="139"/>
      <c r="C183" s="140"/>
      <c r="D183" s="139"/>
      <c r="E183" s="4"/>
    </row>
    <row r="184" spans="1:7">
      <c r="A184" s="146" t="s">
        <v>112</v>
      </c>
      <c r="B184" s="147">
        <v>2718753.74</v>
      </c>
      <c r="C184" s="147"/>
      <c r="D184" s="147">
        <v>2714536.14</v>
      </c>
      <c r="E184" s="4"/>
    </row>
    <row r="185" spans="1:7">
      <c r="A185" s="146" t="s">
        <v>114</v>
      </c>
      <c r="B185" s="147">
        <v>25789680.649999999</v>
      </c>
      <c r="C185" s="147"/>
      <c r="D185" s="147">
        <v>36538127.32</v>
      </c>
      <c r="E185" s="4"/>
    </row>
    <row r="186" spans="1:7">
      <c r="A186" s="146" t="s">
        <v>113</v>
      </c>
      <c r="B186" s="148">
        <v>-2203967.14</v>
      </c>
      <c r="C186" s="147"/>
      <c r="D186" s="148">
        <v>-16312011.029999999</v>
      </c>
      <c r="E186" s="4"/>
    </row>
    <row r="187" spans="1:7">
      <c r="A187" s="146" t="s">
        <v>121</v>
      </c>
      <c r="B187" s="148">
        <v>0</v>
      </c>
      <c r="C187" s="147"/>
      <c r="D187" s="148">
        <v>0</v>
      </c>
      <c r="E187" s="4"/>
    </row>
    <row r="188" spans="1:7">
      <c r="A188" s="139"/>
      <c r="B188" s="149">
        <f>SUM(B184:B187)</f>
        <v>26304467.25</v>
      </c>
      <c r="C188" s="150"/>
      <c r="D188" s="151">
        <f>SUM(D184:D187)</f>
        <v>22940652.43</v>
      </c>
      <c r="E188" s="4"/>
    </row>
    <row r="189" spans="1:7">
      <c r="B189" s="120"/>
      <c r="E189" s="4"/>
      <c r="G189" s="10"/>
    </row>
    <row r="190" spans="1:7">
      <c r="A190" s="135" t="s">
        <v>146</v>
      </c>
      <c r="B190" s="139"/>
      <c r="C190" s="139"/>
      <c r="D190" s="139"/>
      <c r="E190" s="4"/>
    </row>
    <row r="191" spans="1:7">
      <c r="A191" s="139" t="s">
        <v>122</v>
      </c>
      <c r="B191" s="147">
        <f>'P&amp;L'!C20*30%</f>
        <v>44453759.931000009</v>
      </c>
      <c r="C191" s="139"/>
      <c r="D191" s="147">
        <v>43314025.079999998</v>
      </c>
      <c r="E191" s="4"/>
    </row>
    <row r="192" spans="1:7">
      <c r="A192" s="139" t="s">
        <v>120</v>
      </c>
      <c r="B192" s="147">
        <v>0</v>
      </c>
      <c r="C192" s="139"/>
      <c r="D192" s="147">
        <v>0</v>
      </c>
      <c r="E192" s="4"/>
    </row>
    <row r="193" spans="1:5">
      <c r="A193" s="139" t="s">
        <v>123</v>
      </c>
      <c r="B193" s="147">
        <v>3920973.49</v>
      </c>
      <c r="C193" s="139"/>
      <c r="D193" s="147">
        <v>3969451.11</v>
      </c>
      <c r="E193" s="4"/>
    </row>
    <row r="194" spans="1:5" ht="24" customHeight="1" thickBot="1">
      <c r="A194" s="139"/>
      <c r="B194" s="152">
        <f>SUM(B191:B193)</f>
        <v>48374733.421000011</v>
      </c>
      <c r="C194" s="139"/>
      <c r="D194" s="152">
        <f>D191+D192+D193</f>
        <v>47283476.189999998</v>
      </c>
      <c r="E194" s="4"/>
    </row>
    <row r="195" spans="1:5">
      <c r="E195" s="4"/>
    </row>
    <row r="196" spans="1:5">
      <c r="E196" s="10"/>
    </row>
    <row r="197" spans="1:5">
      <c r="E197" s="4"/>
    </row>
    <row r="198" spans="1:5">
      <c r="E198" s="4"/>
    </row>
    <row r="199" spans="1:5" hidden="1">
      <c r="E199" s="4"/>
    </row>
    <row r="200" spans="1:5">
      <c r="E200" s="4"/>
    </row>
    <row r="201" spans="1:5">
      <c r="E201" s="4"/>
    </row>
    <row r="204" spans="1:5">
      <c r="A204" s="10"/>
      <c r="B204" s="8"/>
      <c r="D204" s="4"/>
      <c r="E204" s="4"/>
    </row>
    <row r="205" spans="1:5">
      <c r="A205" s="31"/>
      <c r="B205" s="31"/>
      <c r="D205" s="4"/>
      <c r="E205" s="4"/>
    </row>
    <row r="206" spans="1:5">
      <c r="A206" s="31"/>
      <c r="B206" s="21"/>
      <c r="E206" s="4"/>
    </row>
    <row r="207" spans="1:5" hidden="1">
      <c r="A207" s="31"/>
      <c r="B207" s="21"/>
      <c r="C207" s="10"/>
      <c r="E207" s="4"/>
    </row>
    <row r="208" spans="1:5">
      <c r="B208" s="4"/>
      <c r="E208" s="4"/>
    </row>
    <row r="209" spans="2:5">
      <c r="E209" s="4"/>
    </row>
    <row r="210" spans="2:5">
      <c r="E210" s="4"/>
    </row>
    <row r="211" spans="2:5">
      <c r="E211" s="4"/>
    </row>
    <row r="212" spans="2:5" hidden="1">
      <c r="E212" s="4"/>
    </row>
    <row r="213" spans="2:5">
      <c r="E213" s="4"/>
    </row>
    <row r="214" spans="2:5">
      <c r="E214" s="4"/>
    </row>
    <row r="216" spans="2:5">
      <c r="E216" s="4"/>
    </row>
    <row r="217" spans="2:5">
      <c r="E217" s="4"/>
    </row>
    <row r="218" spans="2:5">
      <c r="E218" s="4"/>
    </row>
    <row r="219" spans="2:5">
      <c r="E219" s="4"/>
    </row>
    <row r="220" spans="2:5">
      <c r="E220" s="4"/>
    </row>
    <row r="221" spans="2:5">
      <c r="E221" s="4"/>
    </row>
    <row r="222" spans="2:5">
      <c r="E222" s="4"/>
    </row>
    <row r="223" spans="2:5">
      <c r="E223" s="4"/>
    </row>
    <row r="224" spans="2:5">
      <c r="B224" s="4"/>
      <c r="E224" s="4"/>
    </row>
    <row r="225" spans="5:5">
      <c r="E225" s="4"/>
    </row>
    <row r="226" spans="5:5">
      <c r="E226" s="4"/>
    </row>
    <row r="227" spans="5:5">
      <c r="E227" s="4"/>
    </row>
    <row r="228" spans="5:5">
      <c r="E228" s="4"/>
    </row>
    <row r="229" spans="5:5">
      <c r="E229" s="4"/>
    </row>
    <row r="230" spans="5:5">
      <c r="E230" s="4"/>
    </row>
    <row r="231" spans="5:5">
      <c r="E231" s="4"/>
    </row>
    <row r="232" spans="5:5">
      <c r="E232" s="4"/>
    </row>
    <row r="233" spans="5:5">
      <c r="E233" s="4"/>
    </row>
    <row r="234" spans="5:5">
      <c r="E234" s="4"/>
    </row>
    <row r="235" spans="5:5">
      <c r="E235" s="4"/>
    </row>
  </sheetData>
  <customSheetViews>
    <customSheetView guid="{72AECFDF-D723-4070-8275-F05FB2F264F1}" scale="70" hiddenRows="1" state="hidden" topLeftCell="A41">
      <selection activeCell="G66" sqref="G66"/>
      <rowBreaks count="4" manualBreakCount="4">
        <brk id="46" max="8" man="1"/>
        <brk id="96" max="8" man="1"/>
        <brk id="143" max="8" man="1"/>
        <brk id="195" max="8" man="1"/>
      </rowBreaks>
      <pageMargins left="0.7" right="0.7" top="0.75" bottom="0.75" header="0.3" footer="0.3"/>
      <pageSetup scale="49" orientation="landscape" cellComments="asDisplayed" r:id="rId1"/>
    </customSheetView>
    <customSheetView guid="{9A88D99D-9CFD-4D2A-BD86-16F4695A8B22}" scale="70" showPageBreaks="1" printArea="1" hiddenRows="1" state="hidden" topLeftCell="A41">
      <selection activeCell="G66" sqref="G66"/>
      <rowBreaks count="4" manualBreakCount="4">
        <brk id="46" max="8" man="1"/>
        <brk id="96" max="8" man="1"/>
        <brk id="143" max="8" man="1"/>
        <brk id="195" max="8" man="1"/>
      </rowBreaks>
      <pageMargins left="0.7" right="0.7" top="0.75" bottom="0.75" header="0.3" footer="0.3"/>
      <pageSetup scale="49" orientation="landscape" cellComments="asDisplayed" r:id="rId2"/>
    </customSheetView>
  </customSheetViews>
  <pageMargins left="0.7" right="0.7" top="0.75" bottom="0.75" header="0.3" footer="0.3"/>
  <pageSetup scale="49" orientation="landscape" cellComments="asDisplayed" r:id="rId3"/>
  <rowBreaks count="4" manualBreakCount="4">
    <brk id="46" max="8" man="1"/>
    <brk id="96" max="8" man="1"/>
    <brk id="143" max="8" man="1"/>
    <brk id="195" max="8" man="1"/>
  </rowBreaks>
  <ignoredErrors>
    <ignoredError sqref="C1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Fin.position-1</vt:lpstr>
      <vt:lpstr>income statement</vt:lpstr>
      <vt:lpstr>equity</vt:lpstr>
      <vt:lpstr>compr.income</vt:lpstr>
      <vt:lpstr>Notes</vt:lpstr>
      <vt:lpstr>NOTES </vt:lpstr>
      <vt:lpstr>BSheet</vt:lpstr>
      <vt:lpstr>P&amp;L</vt:lpstr>
      <vt:lpstr>Schedules</vt:lpstr>
      <vt:lpstr>Notes on Capital</vt:lpstr>
      <vt:lpstr>PP &amp; equip</vt:lpstr>
      <vt:lpstr>Other Notes Final</vt:lpstr>
      <vt:lpstr>Other Notes</vt:lpstr>
      <vt:lpstr>Income Tax as per IT Act</vt:lpstr>
      <vt:lpstr>Segment Reporting</vt:lpstr>
      <vt:lpstr>Deferred tax</vt:lpstr>
      <vt:lpstr>Sheet1</vt:lpstr>
      <vt:lpstr>'Other Notes'!OLE_LINK1</vt:lpstr>
      <vt:lpstr>BSheet!Print_Area</vt:lpstr>
      <vt:lpstr>equity!Print_Area</vt:lpstr>
      <vt:lpstr>'Fin.position-1'!Print_Area</vt:lpstr>
      <vt:lpstr>'income statement'!Print_Area</vt:lpstr>
      <vt:lpstr>'Notes on Capital'!Print_Area</vt:lpstr>
      <vt:lpstr>'Other Notes'!Print_Area</vt:lpstr>
      <vt:lpstr>'Other Notes Final'!Print_Area</vt:lpstr>
      <vt:lpstr>'P&amp;L'!Print_Area</vt:lpstr>
      <vt:lpstr>'PP &amp; equip'!Print_Area</vt:lpstr>
      <vt:lpstr>Schedules!Print_Area</vt:lpstr>
      <vt:lpstr>'Segment Reporting'!Print_Area</vt:lpstr>
    </vt:vector>
  </TitlesOfParts>
  <Company>DPNBL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DPNBL</dc:creator>
  <cp:lastModifiedBy>User</cp:lastModifiedBy>
  <cp:lastPrinted>2016-10-22T04:00:32Z</cp:lastPrinted>
  <dcterms:created xsi:type="dcterms:W3CDTF">2011-02-15T08:16:37Z</dcterms:created>
  <dcterms:modified xsi:type="dcterms:W3CDTF">2016-12-29T10:40:17Z</dcterms:modified>
</cp:coreProperties>
</file>